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Natalya\Desktop\"/>
    </mc:Choice>
  </mc:AlternateContent>
  <bookViews>
    <workbookView xWindow="0" yWindow="0" windowWidth="21570" windowHeight="6645"/>
  </bookViews>
  <sheets>
    <sheet name="Данные для расчета трафика" sheetId="1" r:id="rId1"/>
    <sheet name="Базовый трафик" sheetId="2" r:id="rId2"/>
    <sheet name="Маски" sheetId="3" r:id="rId3"/>
    <sheet name="Спрос по маскам за 2 года" sheetId="4" r:id="rId4"/>
    <sheet name="Сравнение базы и сезонности" sheetId="5" r:id="rId5"/>
    <sheet name="Прогноз спроса" sheetId="6" r:id="rId6"/>
    <sheet name="Прогноз трафика max" sheetId="7" r:id="rId7"/>
    <sheet name="Прогноз прироста по месяцам" sheetId="8" r:id="rId8"/>
  </sheets>
  <calcPr calcId="152511"/>
</workbook>
</file>

<file path=xl/calcChain.xml><?xml version="1.0" encoding="utf-8"?>
<calcChain xmlns="http://schemas.openxmlformats.org/spreadsheetml/2006/main">
  <c r="B26" i="6" l="1"/>
  <c r="B44" i="8" l="1"/>
  <c r="B43" i="8"/>
  <c r="B42" i="8"/>
  <c r="B41" i="8"/>
  <c r="B40" i="8"/>
  <c r="B39" i="8"/>
  <c r="B38" i="8"/>
  <c r="B37" i="8"/>
  <c r="B36" i="8"/>
  <c r="B35" i="8"/>
  <c r="B34" i="8"/>
  <c r="B33" i="8"/>
  <c r="K2" i="7" l="1"/>
  <c r="D124" i="7"/>
  <c r="D127" i="7" l="1"/>
  <c r="D126" i="7"/>
  <c r="D125" i="7"/>
  <c r="D123" i="7"/>
  <c r="D122" i="7"/>
  <c r="D98" i="7"/>
  <c r="D96" i="7"/>
  <c r="D95" i="7"/>
  <c r="D87" i="7"/>
  <c r="D86" i="7"/>
  <c r="D85" i="7"/>
  <c r="D83" i="7"/>
  <c r="D82" i="7"/>
  <c r="D81" i="7"/>
  <c r="D80" i="7"/>
  <c r="D78" i="7"/>
  <c r="D77" i="7"/>
  <c r="D73" i="7"/>
  <c r="D59" i="7"/>
  <c r="D44" i="7"/>
  <c r="D36" i="7"/>
  <c r="D35" i="7"/>
  <c r="D34" i="7"/>
  <c r="D33" i="7"/>
  <c r="D32" i="7"/>
  <c r="D30" i="7"/>
  <c r="D29" i="7"/>
  <c r="D28" i="7"/>
  <c r="D27" i="7"/>
  <c r="D26" i="7"/>
  <c r="D25" i="7"/>
  <c r="D24" i="7"/>
  <c r="D23" i="7"/>
  <c r="D22" i="7"/>
  <c r="D17" i="7"/>
  <c r="G3" i="4" l="1"/>
  <c r="G4" i="4"/>
  <c r="G5" i="4"/>
  <c r="G6" i="4"/>
  <c r="G7" i="4"/>
  <c r="G8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" i="4"/>
  <c r="F26" i="4"/>
  <c r="F3" i="4"/>
  <c r="F4" i="4"/>
  <c r="F5" i="4"/>
  <c r="F6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" i="4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B2" i="2"/>
  <c r="D44" i="8" l="1"/>
  <c r="D43" i="8"/>
  <c r="D42" i="8"/>
  <c r="D41" i="8"/>
  <c r="D40" i="8"/>
  <c r="D39" i="8"/>
  <c r="D38" i="8"/>
  <c r="D37" i="8"/>
  <c r="D36" i="8"/>
  <c r="D35" i="8"/>
  <c r="D34" i="8"/>
  <c r="D33" i="8"/>
  <c r="C131" i="7"/>
  <c r="E130" i="7"/>
  <c r="E129" i="7"/>
  <c r="E128" i="7"/>
  <c r="E127" i="7"/>
  <c r="E126" i="7"/>
  <c r="E125" i="7"/>
  <c r="E124" i="7"/>
  <c r="E123" i="7"/>
  <c r="E122" i="7"/>
  <c r="E121" i="7"/>
  <c r="E120" i="7"/>
  <c r="E119" i="7"/>
  <c r="E118" i="7"/>
  <c r="E117" i="7"/>
  <c r="E116" i="7"/>
  <c r="E115" i="7"/>
  <c r="E114" i="7"/>
  <c r="E113" i="7"/>
  <c r="E112" i="7"/>
  <c r="E111" i="7"/>
  <c r="E110" i="7"/>
  <c r="E109" i="7"/>
  <c r="E108" i="7"/>
  <c r="E107" i="7"/>
  <c r="E106" i="7"/>
  <c r="E105" i="7"/>
  <c r="E104" i="7"/>
  <c r="E103" i="7"/>
  <c r="E102" i="7"/>
  <c r="E101" i="7"/>
  <c r="E100" i="7"/>
  <c r="E99" i="7"/>
  <c r="E98" i="7"/>
  <c r="E97" i="7"/>
  <c r="E96" i="7"/>
  <c r="E95" i="7"/>
  <c r="E94" i="7"/>
  <c r="E93" i="7"/>
  <c r="E92" i="7"/>
  <c r="E91" i="7"/>
  <c r="E90" i="7"/>
  <c r="E89" i="7"/>
  <c r="E88" i="7"/>
  <c r="E87" i="7"/>
  <c r="E86" i="7"/>
  <c r="E85" i="7"/>
  <c r="E84" i="7"/>
  <c r="E83" i="7"/>
  <c r="E82" i="7"/>
  <c r="E81" i="7"/>
  <c r="E80" i="7"/>
  <c r="E79" i="7"/>
  <c r="E78" i="7"/>
  <c r="E77" i="7"/>
  <c r="E76" i="7"/>
  <c r="E75" i="7"/>
  <c r="E74" i="7"/>
  <c r="E73" i="7"/>
  <c r="E72" i="7"/>
  <c r="E71" i="7"/>
  <c r="E70" i="7"/>
  <c r="E69" i="7"/>
  <c r="E68" i="7"/>
  <c r="E67" i="7"/>
  <c r="E66" i="7"/>
  <c r="E65" i="7"/>
  <c r="E64" i="7"/>
  <c r="E63" i="7"/>
  <c r="E62" i="7"/>
  <c r="E61" i="7"/>
  <c r="E60" i="7"/>
  <c r="E59" i="7"/>
  <c r="E58" i="7"/>
  <c r="E57" i="7"/>
  <c r="E56" i="7"/>
  <c r="E55" i="7"/>
  <c r="E54" i="7"/>
  <c r="E53" i="7"/>
  <c r="E52" i="7"/>
  <c r="E51" i="7"/>
  <c r="E50" i="7"/>
  <c r="E49" i="7"/>
  <c r="E48" i="7"/>
  <c r="E47" i="7"/>
  <c r="E46" i="7"/>
  <c r="E45" i="7"/>
  <c r="E44" i="7"/>
  <c r="E43" i="7"/>
  <c r="E42" i="7"/>
  <c r="E41" i="7"/>
  <c r="E40" i="7"/>
  <c r="E39" i="7"/>
  <c r="E38" i="7"/>
  <c r="E37" i="7"/>
  <c r="E36" i="7"/>
  <c r="E35" i="7"/>
  <c r="E34" i="7"/>
  <c r="E33" i="7"/>
  <c r="E32" i="7"/>
  <c r="E31" i="7"/>
  <c r="E30" i="7"/>
  <c r="E29" i="7"/>
  <c r="E28" i="7"/>
  <c r="E27" i="7"/>
  <c r="E26" i="7"/>
  <c r="E25" i="7"/>
  <c r="E24" i="7"/>
  <c r="E23" i="7"/>
  <c r="E22" i="7"/>
  <c r="E21" i="7"/>
  <c r="E20" i="7"/>
  <c r="E19" i="7"/>
  <c r="E18" i="7"/>
  <c r="E17" i="7"/>
  <c r="E16" i="7"/>
  <c r="E15" i="7"/>
  <c r="E14" i="7"/>
  <c r="E13" i="7"/>
  <c r="E12" i="7"/>
  <c r="E11" i="7"/>
  <c r="E10" i="7"/>
  <c r="E9" i="7"/>
  <c r="E8" i="7"/>
  <c r="E7" i="7"/>
  <c r="E6" i="7"/>
  <c r="E5" i="7"/>
  <c r="E4" i="7"/>
  <c r="E3" i="7"/>
  <c r="E2" i="7"/>
  <c r="B37" i="6"/>
  <c r="D37" i="6" s="1"/>
  <c r="B36" i="6"/>
  <c r="D36" i="6" s="1"/>
  <c r="B35" i="6"/>
  <c r="D35" i="6" s="1"/>
  <c r="B34" i="6"/>
  <c r="D34" i="6" s="1"/>
  <c r="B33" i="6"/>
  <c r="D33" i="6" s="1"/>
  <c r="B32" i="6"/>
  <c r="D32" i="6" s="1"/>
  <c r="B31" i="6"/>
  <c r="D31" i="6" s="1"/>
  <c r="B30" i="6"/>
  <c r="D30" i="6" s="1"/>
  <c r="B29" i="6"/>
  <c r="D29" i="6" s="1"/>
  <c r="B28" i="6"/>
  <c r="D28" i="6" s="1"/>
  <c r="B27" i="6"/>
  <c r="D27" i="6" s="1"/>
  <c r="D26" i="6"/>
  <c r="D38" i="6" l="1"/>
  <c r="K5" i="7" s="1"/>
  <c r="E131" i="7"/>
  <c r="G131" i="7" s="1"/>
  <c r="C13" i="8" l="1"/>
  <c r="D13" i="8" s="1"/>
  <c r="C11" i="8"/>
  <c r="D11" i="8" s="1"/>
  <c r="C9" i="8"/>
  <c r="D9" i="8" s="1"/>
  <c r="C7" i="8"/>
  <c r="D7" i="8" s="1"/>
  <c r="C5" i="8"/>
  <c r="D5" i="8" s="1"/>
  <c r="C3" i="8"/>
  <c r="D3" i="8" s="1"/>
  <c r="C12" i="8"/>
  <c r="D12" i="8" s="1"/>
  <c r="C10" i="8"/>
  <c r="D10" i="8" s="1"/>
  <c r="C8" i="8"/>
  <c r="D8" i="8" s="1"/>
  <c r="C6" i="8"/>
  <c r="D6" i="8" s="1"/>
  <c r="C4" i="8"/>
  <c r="D4" i="8" s="1"/>
  <c r="C2" i="8"/>
  <c r="D2" i="8" s="1"/>
</calcChain>
</file>

<file path=xl/sharedStrings.xml><?xml version="1.0" encoding="utf-8"?>
<sst xmlns="http://schemas.openxmlformats.org/spreadsheetml/2006/main" count="194" uniqueCount="183">
  <si>
    <t>Сайт</t>
  </si>
  <si>
    <t>ПС</t>
  </si>
  <si>
    <t>Регион(ы)</t>
  </si>
  <si>
    <t>Атрибуция</t>
  </si>
  <si>
    <t>Тип посещаемости</t>
  </si>
  <si>
    <t>С Брендовым трафиком или Без Брендового считаем (СБ или ББ)</t>
  </si>
  <si>
    <t>Индивидуальные условия (нет или указываем какие)</t>
  </si>
  <si>
    <t>Доп. комментарии</t>
  </si>
  <si>
    <t>Я, G</t>
  </si>
  <si>
    <t>последний переход</t>
  </si>
  <si>
    <t>Посетители</t>
  </si>
  <si>
    <t>ББ</t>
  </si>
  <si>
    <t>данные: без роботов</t>
  </si>
  <si>
    <t>Месяц</t>
  </si>
  <si>
    <t>Базовый трафик</t>
  </si>
  <si>
    <t>Маска 1</t>
  </si>
  <si>
    <t>Маска 2</t>
  </si>
  <si>
    <t>Маска 1 + Маска 2</t>
  </si>
  <si>
    <t>Суммарный Спрос</t>
  </si>
  <si>
    <t>Коэффициент сезонности</t>
  </si>
  <si>
    <t>Среднее значение:</t>
  </si>
  <si>
    <t>Месяц визита</t>
  </si>
  <si>
    <t>Период</t>
  </si>
  <si>
    <t xml:space="preserve">Прогноз спроса </t>
  </si>
  <si>
    <t>Запросы</t>
  </si>
  <si>
    <t>Позиции Январь</t>
  </si>
  <si>
    <t>Расчет</t>
  </si>
  <si>
    <t>Поправка спроса по топовости</t>
  </si>
  <si>
    <t xml:space="preserve">Позиция </t>
  </si>
  <si>
    <t>CTR</t>
  </si>
  <si>
    <t>Успешность</t>
  </si>
  <si>
    <t>Max трафик</t>
  </si>
  <si>
    <t>Прирост без учета сезонности</t>
  </si>
  <si>
    <t>Прирост с учетом сезонности</t>
  </si>
  <si>
    <t>База</t>
  </si>
  <si>
    <t>Прирост</t>
  </si>
  <si>
    <t>Общий трафик</t>
  </si>
  <si>
    <t>Санкт-Петербург и ЛО, Москва и МО</t>
  </si>
  <si>
    <t>купить керамогранит -плитка -леруа -плиткорез -сверла -диск -мерлен -резка -авито</t>
  </si>
  <si>
    <t>купить керамическую плитку -авито -леруа -мерлен -затирка</t>
  </si>
  <si>
    <t>Маска 1 (купить керамогранит -плитка -леруа -плиткорез -сверла -диск -мерлен -резка -авито)</t>
  </si>
  <si>
    <t>Маска 2 (купить керамическую плитку -авито -леруа -мерлен -затирка)</t>
  </si>
  <si>
    <t>Спрос (Санкт-Петербург и ЛО + Москва и МО)</t>
  </si>
  <si>
    <t>керамическая плитка</t>
  </si>
  <si>
    <t>купить керамическую плитку</t>
  </si>
  <si>
    <t>керамическая плитка цены</t>
  </si>
  <si>
    <t>купить керамическую плитку в спб</t>
  </si>
  <si>
    <t>керамическая плитка каталог цены</t>
  </si>
  <si>
    <t>купить керамическую плитку недорого</t>
  </si>
  <si>
    <t>стоимость керамической плитки</t>
  </si>
  <si>
    <t>керамическая плитка цена за м2</t>
  </si>
  <si>
    <t>керамическая плитка купить цена</t>
  </si>
  <si>
    <t>купить керамическую плитку спб недорого</t>
  </si>
  <si>
    <t>керамическая плитка стоимость м2</t>
  </si>
  <si>
    <t>керамическая плитка для ванной</t>
  </si>
  <si>
    <t>керамическая плитка в ванную</t>
  </si>
  <si>
    <t>купить керамическую плитку для ванной</t>
  </si>
  <si>
    <t>купить керамическую плитку в ванную</t>
  </si>
  <si>
    <t>керамическая плитка ванную каталог</t>
  </si>
  <si>
    <t>керамическая плитка спб в ванную</t>
  </si>
  <si>
    <t>керамическая плитка для ванны цена</t>
  </si>
  <si>
    <t>плитка керамическая для ванной цена каталог</t>
  </si>
  <si>
    <t>керамическая плитка для ванной недорого</t>
  </si>
  <si>
    <t>керамическая плитка для кухни</t>
  </si>
  <si>
    <t>купить керамическую плитку для кухни</t>
  </si>
  <si>
    <t>керамическая плитка для кухни цена</t>
  </si>
  <si>
    <t>керамическая плитка для кухни каталог цены</t>
  </si>
  <si>
    <t>керамическая плитка для кухни купить спб</t>
  </si>
  <si>
    <t>купить керамическую плитку для кухни недорого</t>
  </si>
  <si>
    <t>керамическая плитка для пола</t>
  </si>
  <si>
    <t>купить керамическую плитку для пола</t>
  </si>
  <si>
    <t>плитка керамическая для пола цена</t>
  </si>
  <si>
    <t>керамическая плитка для пола купить в спб</t>
  </si>
  <si>
    <t>стоимость керамической плитки на пол</t>
  </si>
  <si>
    <t>плитка керамическая для пола цена за м2</t>
  </si>
  <si>
    <t>купить керамическая плитка для пола цена</t>
  </si>
  <si>
    <t>керамическая плитка для пола недорого купить</t>
  </si>
  <si>
    <t>стоимость керамической плитки для пола цена</t>
  </si>
  <si>
    <t>керамогранит купить</t>
  </si>
  <si>
    <t>керамогранит для пола</t>
  </si>
  <si>
    <t>керамогранит цена</t>
  </si>
  <si>
    <t>керамогранит спб</t>
  </si>
  <si>
    <t>керамогранит напольный</t>
  </si>
  <si>
    <t>керамогранит купить в спб</t>
  </si>
  <si>
    <t>керамогранит для пола купить</t>
  </si>
  <si>
    <t>купить плитку керамогранит</t>
  </si>
  <si>
    <t>плитка керамогранит цена</t>
  </si>
  <si>
    <t>керамогранит для пола купить в спб</t>
  </si>
  <si>
    <t>керамогранит цена за м2</t>
  </si>
  <si>
    <t>керамогранит стоимость</t>
  </si>
  <si>
    <t>купить керамогранит недорого</t>
  </si>
  <si>
    <t>купить керамогранит напольный</t>
  </si>
  <si>
    <t>купить керамогранит цена</t>
  </si>
  <si>
    <t>купить напольную плитку керамогранит</t>
  </si>
  <si>
    <t>керамогранит каталог цены</t>
  </si>
  <si>
    <t>керамогранит цена спб</t>
  </si>
  <si>
    <t>плитка керамогранит пол цена</t>
  </si>
  <si>
    <t>купить керамогранит в санкт петербурге</t>
  </si>
  <si>
    <t>плитка керамогранит купить в спб</t>
  </si>
  <si>
    <t>керамогранит стоимость м2</t>
  </si>
  <si>
    <t>стоимость плитки керамогранит</t>
  </si>
  <si>
    <t>керамогранит стоимость цена</t>
  </si>
  <si>
    <t>плитка мозаика</t>
  </si>
  <si>
    <t>плитка мозаика для ванной</t>
  </si>
  <si>
    <t>плитка мозаика купить</t>
  </si>
  <si>
    <t>плитка мозаика цена</t>
  </si>
  <si>
    <t>керамическая плитка мозаика</t>
  </si>
  <si>
    <t>плитка мозаика купить в спб</t>
  </si>
  <si>
    <t>плитка мозаика каталог цена</t>
  </si>
  <si>
    <t>плитка мозаика купить недорого</t>
  </si>
  <si>
    <t>плитка мозаика для ванной купить в спб</t>
  </si>
  <si>
    <t>плитка под мозаику купить</t>
  </si>
  <si>
    <t>плитка мозаика купить цены</t>
  </si>
  <si>
    <t>керамическая плитка мозаика купить</t>
  </si>
  <si>
    <t>керамическая плитка под мозаику</t>
  </si>
  <si>
    <t>керамическая плитка напольная мозаика</t>
  </si>
  <si>
    <t>керамическая плитка керамогранит мозаика</t>
  </si>
  <si>
    <t>плитка керамическая мозаика цена</t>
  </si>
  <si>
    <t>клинкерная плитка</t>
  </si>
  <si>
    <t>клинкерная плитка купить</t>
  </si>
  <si>
    <t>клинкерная плитка цена</t>
  </si>
  <si>
    <t>клинкер купить</t>
  </si>
  <si>
    <t>клинкерная плитка спб</t>
  </si>
  <si>
    <t>плитка клинкер</t>
  </si>
  <si>
    <t>клинкерная плитка цена за м2</t>
  </si>
  <si>
    <t>клинкер цена</t>
  </si>
  <si>
    <t>клинкерная плитка купить в спб</t>
  </si>
  <si>
    <t>купить плитку клинкер</t>
  </si>
  <si>
    <t>плитка клинкер цена</t>
  </si>
  <si>
    <t>фасадная плитка</t>
  </si>
  <si>
    <t>купить фасадную плитку</t>
  </si>
  <si>
    <t>керамическая фасадная плитка</t>
  </si>
  <si>
    <t>фасадная плитка спб</t>
  </si>
  <si>
    <t>купить керамическую фасадную плитку</t>
  </si>
  <si>
    <t>фасадная керамическая плитка цена</t>
  </si>
  <si>
    <t>фасадная плитка спб цена</t>
  </si>
  <si>
    <t>полупьедестал</t>
  </si>
  <si>
    <t>купить полупьедестал</t>
  </si>
  <si>
    <t>полупьедестал для раковины купить</t>
  </si>
  <si>
    <t>полупьедестал цена</t>
  </si>
  <si>
    <t>купить раковину с пьедесталом</t>
  </si>
  <si>
    <t>раковина с пьедесталом спб</t>
  </si>
  <si>
    <t>раковина с пьедесталом цена</t>
  </si>
  <si>
    <t>спб купить душевой гарнитур</t>
  </si>
  <si>
    <t>душевые панели спб</t>
  </si>
  <si>
    <t>душевая кабина купить</t>
  </si>
  <si>
    <t>душевые кабины в спб</t>
  </si>
  <si>
    <t>душевая кабина цена</t>
  </si>
  <si>
    <t>купить душевую кабину недорого</t>
  </si>
  <si>
    <t>душевые кабины в спб недорого</t>
  </si>
  <si>
    <t>душевая кабина купить в спб недорого</t>
  </si>
  <si>
    <t>стоимость душевой кабины</t>
  </si>
  <si>
    <t>душевой кабины спб цена</t>
  </si>
  <si>
    <t>душевая кабина купить цена</t>
  </si>
  <si>
    <t>душевой бокс</t>
  </si>
  <si>
    <t>купить душевой бокс</t>
  </si>
  <si>
    <t>душевой бокс спб</t>
  </si>
  <si>
    <t>душевые боксы цена</t>
  </si>
  <si>
    <t>купить душевой бокс недорого</t>
  </si>
  <si>
    <t>купить душевой бокс интернет магазин</t>
  </si>
  <si>
    <t>душевые боксы купить цена</t>
  </si>
  <si>
    <t>виниловые полы в спб</t>
  </si>
  <si>
    <t>виниловые полы купить в спб</t>
  </si>
  <si>
    <t>плитка для пола</t>
  </si>
  <si>
    <t>купить плитку для пола</t>
  </si>
  <si>
    <t>alba cersanit</t>
  </si>
  <si>
    <t>cersanit nordic</t>
  </si>
  <si>
    <t>cersanit sonata</t>
  </si>
  <si>
    <t>cersanit vita</t>
  </si>
  <si>
    <t>плитка для ванной</t>
  </si>
  <si>
    <t>купить плитку для ванной</t>
  </si>
  <si>
    <t>плитка для ванной в спб</t>
  </si>
  <si>
    <t>Спрос (Москва и МО, Санкт-Петербург и ЛО)</t>
  </si>
  <si>
    <t>Спрос масок &lt; 50 000</t>
  </si>
  <si>
    <t>!*лирано*икс*</t>
  </si>
  <si>
    <t>!*lirano*x*</t>
  </si>
  <si>
    <t>!*лирано*</t>
  </si>
  <si>
    <t>!*lirano*</t>
  </si>
  <si>
    <t>!*лираноикс*</t>
  </si>
  <si>
    <t>!*liranox*</t>
  </si>
  <si>
    <t>Не кросс-девайс</t>
  </si>
  <si>
    <t>lirano-x.ru</t>
  </si>
  <si>
    <t>msk.lirano-x.ru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</si>
</sst>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6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0"/>
      <color indexed="65"/>
      <name val="Roboto"/>
    </font>
    <font>
      <sz val="10"/>
      <color theme="1"/>
      <name val="Arial"/>
    </font>
    <font>
      <sz val="11"/>
      <color theme="1"/>
      <name val="Calibri"/>
    </font>
    <font>
      <b/>
      <sz val="11"/>
      <color theme="1"/>
      <name val="Calibri"/>
    </font>
    <font>
      <sz val="11"/>
      <color rgb="FF00B050"/>
      <name val="Calibri"/>
    </font>
    <font>
      <b/>
      <sz val="11"/>
      <color theme="1"/>
      <name val="Calibri"/>
      <scheme val="minor"/>
    </font>
    <font>
      <sz val="11"/>
      <name val="Calibri"/>
      <scheme val="minor"/>
    </font>
    <font>
      <sz val="11"/>
      <color rgb="FF00B050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B050"/>
      <name val="Calibri"/>
      <family val="2"/>
      <charset val="204"/>
    </font>
    <font>
      <sz val="11"/>
      <color rgb="FF00B050"/>
      <name val="Calibri"/>
      <family val="2"/>
      <charset val="204"/>
      <scheme val="minor"/>
    </font>
    <font>
      <sz val="11"/>
      <color rgb="FF000000"/>
      <name val="Arial"/>
      <family val="2"/>
      <charset val="204"/>
    </font>
    <font>
      <b/>
      <sz val="10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4A86E8"/>
        <bgColor rgb="FF4A86E8"/>
      </patternFill>
    </fill>
    <fill>
      <patternFill patternType="solid">
        <fgColor rgb="FF00B050"/>
        <bgColor rgb="FF00B050"/>
      </patternFill>
    </fill>
    <fill>
      <patternFill patternType="solid">
        <fgColor rgb="FF00B050"/>
        <bgColor indexed="64"/>
      </patternFill>
    </fill>
    <fill>
      <patternFill patternType="solid">
        <fgColor theme="9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CCCCCC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6" fillId="0" borderId="0" xfId="0" applyFont="1" applyAlignment="1">
      <alignment horizontal="center"/>
    </xf>
    <xf numFmtId="17" fontId="0" fillId="0" borderId="0" xfId="0" applyNumberFormat="1"/>
    <xf numFmtId="17" fontId="5" fillId="0" borderId="0" xfId="0" applyNumberFormat="1" applyFont="1"/>
    <xf numFmtId="17" fontId="5" fillId="0" borderId="0" xfId="0" applyNumberFormat="1" applyFont="1" applyAlignment="1">
      <alignment horizontal="right"/>
    </xf>
    <xf numFmtId="0" fontId="0" fillId="0" borderId="0" xfId="0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1" fontId="0" fillId="0" borderId="0" xfId="0" applyNumberFormat="1"/>
    <xf numFmtId="2" fontId="0" fillId="0" borderId="0" xfId="0" applyNumberFormat="1"/>
    <xf numFmtId="1" fontId="8" fillId="0" borderId="0" xfId="0" applyNumberFormat="1" applyFont="1"/>
    <xf numFmtId="2" fontId="10" fillId="0" borderId="0" xfId="0" applyNumberFormat="1" applyFont="1"/>
    <xf numFmtId="0" fontId="8" fillId="0" borderId="0" xfId="0" applyFont="1"/>
    <xf numFmtId="0" fontId="8" fillId="0" borderId="5" xfId="0" applyFont="1" applyBorder="1" applyAlignment="1">
      <alignment horizontal="center" vertical="center" wrapText="1"/>
    </xf>
    <xf numFmtId="0" fontId="8" fillId="0" borderId="5" xfId="0" applyFont="1" applyBorder="1"/>
    <xf numFmtId="0" fontId="8" fillId="0" borderId="5" xfId="0" applyFont="1" applyBorder="1" applyAlignment="1">
      <alignment horizontal="center"/>
    </xf>
    <xf numFmtId="0" fontId="0" fillId="0" borderId="5" xfId="0" applyBorder="1"/>
    <xf numFmtId="0" fontId="0" fillId="0" borderId="5" xfId="0" applyBorder="1" applyAlignment="1">
      <alignment horizontal="center"/>
    </xf>
    <xf numFmtId="0" fontId="0" fillId="0" borderId="5" xfId="0" applyBorder="1" applyAlignment="1">
      <alignment horizontal="center" vertical="center" wrapText="1"/>
    </xf>
    <xf numFmtId="1" fontId="0" fillId="0" borderId="5" xfId="0" applyNumberFormat="1" applyBorder="1" applyAlignment="1">
      <alignment horizontal="center" vertical="center" wrapText="1"/>
    </xf>
    <xf numFmtId="1" fontId="0" fillId="0" borderId="5" xfId="0" applyNumberFormat="1" applyBorder="1" applyAlignment="1">
      <alignment horizontal="center"/>
    </xf>
    <xf numFmtId="9" fontId="0" fillId="0" borderId="5" xfId="0" applyNumberFormat="1" applyBorder="1" applyAlignment="1">
      <alignment horizontal="center"/>
    </xf>
    <xf numFmtId="2" fontId="8" fillId="0" borderId="5" xfId="0" applyNumberFormat="1" applyFont="1" applyBorder="1" applyAlignment="1">
      <alignment horizontal="center"/>
    </xf>
    <xf numFmtId="164" fontId="0" fillId="0" borderId="5" xfId="0" applyNumberFormat="1" applyBorder="1" applyAlignment="1">
      <alignment horizontal="center"/>
    </xf>
    <xf numFmtId="1" fontId="8" fillId="0" borderId="5" xfId="0" applyNumberFormat="1" applyFont="1" applyBorder="1" applyAlignment="1">
      <alignment horizontal="center"/>
    </xf>
    <xf numFmtId="9" fontId="0" fillId="0" borderId="0" xfId="0" applyNumberFormat="1"/>
    <xf numFmtId="1" fontId="8" fillId="0" borderId="0" xfId="0" applyNumberFormat="1" applyFont="1" applyAlignment="1">
      <alignment horizontal="center"/>
    </xf>
    <xf numFmtId="2" fontId="8" fillId="0" borderId="0" xfId="0" applyNumberFormat="1" applyFont="1"/>
    <xf numFmtId="0" fontId="8" fillId="3" borderId="5" xfId="0" applyFont="1" applyFill="1" applyBorder="1" applyAlignment="1">
      <alignment horizontal="center"/>
    </xf>
    <xf numFmtId="17" fontId="7" fillId="0" borderId="5" xfId="0" applyNumberFormat="1" applyFont="1" applyBorder="1"/>
    <xf numFmtId="2" fontId="0" fillId="0" borderId="5" xfId="0" applyNumberFormat="1" applyBorder="1"/>
    <xf numFmtId="1" fontId="0" fillId="0" borderId="5" xfId="0" applyNumberFormat="1" applyBorder="1"/>
    <xf numFmtId="17" fontId="10" fillId="0" borderId="5" xfId="0" applyNumberFormat="1" applyFont="1" applyBorder="1"/>
    <xf numFmtId="0" fontId="10" fillId="0" borderId="5" xfId="0" applyFont="1" applyBorder="1"/>
    <xf numFmtId="0" fontId="8" fillId="0" borderId="0" xfId="0" applyFont="1" applyFill="1"/>
    <xf numFmtId="0" fontId="0" fillId="5" borderId="5" xfId="0" applyFill="1" applyBorder="1" applyAlignment="1">
      <alignment horizontal="center"/>
    </xf>
    <xf numFmtId="0" fontId="14" fillId="0" borderId="5" xfId="0" applyFont="1" applyBorder="1" applyAlignment="1">
      <alignment vertical="center"/>
    </xf>
    <xf numFmtId="0" fontId="15" fillId="0" borderId="3" xfId="0" applyFont="1" applyBorder="1" applyAlignment="1">
      <alignment horizontal="center" vertical="center" wrapText="1"/>
    </xf>
    <xf numFmtId="0" fontId="11" fillId="4" borderId="5" xfId="0" applyFont="1" applyFill="1" applyBorder="1"/>
    <xf numFmtId="0" fontId="6" fillId="0" borderId="5" xfId="0" applyFont="1" applyBorder="1" applyAlignment="1">
      <alignment horizontal="center"/>
    </xf>
    <xf numFmtId="17" fontId="0" fillId="0" borderId="5" xfId="0" applyNumberFormat="1" applyBorder="1"/>
    <xf numFmtId="17" fontId="5" fillId="0" borderId="5" xfId="0" applyNumberFormat="1" applyFont="1" applyBorder="1"/>
    <xf numFmtId="17" fontId="5" fillId="0" borderId="5" xfId="0" applyNumberFormat="1" applyFont="1" applyBorder="1" applyAlignment="1">
      <alignment horizontal="right"/>
    </xf>
    <xf numFmtId="17" fontId="12" fillId="0" borderId="5" xfId="0" applyNumberFormat="1" applyFont="1" applyBorder="1"/>
    <xf numFmtId="17" fontId="13" fillId="0" borderId="5" xfId="0" applyNumberFormat="1" applyFont="1" applyBorder="1"/>
    <xf numFmtId="17" fontId="12" fillId="0" borderId="5" xfId="0" applyNumberFormat="1" applyFont="1" applyBorder="1" applyAlignment="1">
      <alignment horizontal="right"/>
    </xf>
    <xf numFmtId="0" fontId="8" fillId="0" borderId="5" xfId="0" applyFont="1" applyBorder="1" applyAlignment="1">
      <alignment horizontal="center" wrapText="1"/>
    </xf>
    <xf numFmtId="0" fontId="2" fillId="0" borderId="5" xfId="0" applyFont="1" applyBorder="1" applyAlignment="1">
      <alignment vertical="center" wrapText="1"/>
    </xf>
    <xf numFmtId="0" fontId="1" fillId="0" borderId="5" xfId="0" applyFont="1" applyBorder="1" applyAlignment="1" applyProtection="1">
      <alignment vertical="center" wrapText="1"/>
    </xf>
    <xf numFmtId="0" fontId="11" fillId="0" borderId="5" xfId="0" applyFont="1" applyBorder="1" applyAlignment="1">
      <alignment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5" xfId="0" applyFont="1" applyBorder="1" applyAlignment="1" applyProtection="1">
      <alignment vertical="center" wrapText="1"/>
    </xf>
    <xf numFmtId="0" fontId="8" fillId="0" borderId="5" xfId="0" applyFont="1" applyBorder="1" applyAlignment="1">
      <alignment horizontal="center" vertical="center"/>
    </xf>
    <xf numFmtId="1" fontId="9" fillId="0" borderId="5" xfId="0" applyNumberFormat="1" applyFont="1" applyBorder="1"/>
    <xf numFmtId="1" fontId="11" fillId="0" borderId="5" xfId="0" applyNumberFormat="1" applyFont="1" applyBorder="1"/>
    <xf numFmtId="1" fontId="10" fillId="0" borderId="5" xfId="0" applyNumberFormat="1" applyFont="1" applyBorder="1"/>
    <xf numFmtId="2" fontId="0" fillId="0" borderId="6" xfId="0" applyNumberFormat="1" applyBorder="1"/>
    <xf numFmtId="0" fontId="8" fillId="3" borderId="5" xfId="0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Базовый</a:t>
            </a:r>
            <a:r>
              <a:rPr lang="ru-RU" baseline="0"/>
              <a:t> трафик</a:t>
            </a:r>
          </a:p>
        </c:rich>
      </c:tx>
      <c:layout>
        <c:manualLayout>
          <c:xMode val="edge"/>
          <c:yMode val="edge"/>
          <c:x val="0.30945822397200351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'Сравнение базы и сезонности'!$A$2:$A$25</c:f>
              <c:numCache>
                <c:formatCode>mmm\-yy</c:formatCode>
                <c:ptCount val="24"/>
                <c:pt idx="0">
                  <c:v>44531</c:v>
                </c:pt>
                <c:pt idx="1">
                  <c:v>44562</c:v>
                </c:pt>
                <c:pt idx="2">
                  <c:v>44593</c:v>
                </c:pt>
                <c:pt idx="3">
                  <c:v>44621</c:v>
                </c:pt>
                <c:pt idx="4">
                  <c:v>44652</c:v>
                </c:pt>
                <c:pt idx="5">
                  <c:v>44682</c:v>
                </c:pt>
                <c:pt idx="6">
                  <c:v>44713</c:v>
                </c:pt>
                <c:pt idx="7">
                  <c:v>44743</c:v>
                </c:pt>
                <c:pt idx="8">
                  <c:v>44774</c:v>
                </c:pt>
                <c:pt idx="9">
                  <c:v>44805</c:v>
                </c:pt>
                <c:pt idx="10">
                  <c:v>44835</c:v>
                </c:pt>
                <c:pt idx="11">
                  <c:v>44866</c:v>
                </c:pt>
                <c:pt idx="12">
                  <c:v>44896</c:v>
                </c:pt>
                <c:pt idx="13">
                  <c:v>44927</c:v>
                </c:pt>
                <c:pt idx="14">
                  <c:v>44958</c:v>
                </c:pt>
                <c:pt idx="15">
                  <c:v>44986</c:v>
                </c:pt>
                <c:pt idx="16">
                  <c:v>45017</c:v>
                </c:pt>
                <c:pt idx="17">
                  <c:v>45047</c:v>
                </c:pt>
                <c:pt idx="18">
                  <c:v>45078</c:v>
                </c:pt>
                <c:pt idx="19">
                  <c:v>45108</c:v>
                </c:pt>
                <c:pt idx="20">
                  <c:v>45139</c:v>
                </c:pt>
                <c:pt idx="21">
                  <c:v>45170</c:v>
                </c:pt>
                <c:pt idx="22">
                  <c:v>45200</c:v>
                </c:pt>
                <c:pt idx="23">
                  <c:v>45231</c:v>
                </c:pt>
              </c:numCache>
            </c:numRef>
          </c:cat>
          <c:val>
            <c:numRef>
              <c:f>'Сравнение базы и сезонности'!$B$2:$B$25</c:f>
              <c:numCache>
                <c:formatCode>General</c:formatCode>
                <c:ptCount val="24"/>
                <c:pt idx="0">
                  <c:v>3454</c:v>
                </c:pt>
                <c:pt idx="1">
                  <c:v>4082</c:v>
                </c:pt>
                <c:pt idx="2">
                  <c:v>4382</c:v>
                </c:pt>
                <c:pt idx="3">
                  <c:v>9254</c:v>
                </c:pt>
                <c:pt idx="4">
                  <c:v>7221</c:v>
                </c:pt>
                <c:pt idx="5">
                  <c:v>6391</c:v>
                </c:pt>
                <c:pt idx="6">
                  <c:v>6524</c:v>
                </c:pt>
                <c:pt idx="7">
                  <c:v>6267</c:v>
                </c:pt>
                <c:pt idx="8">
                  <c:v>5421</c:v>
                </c:pt>
                <c:pt idx="9">
                  <c:v>4332</c:v>
                </c:pt>
                <c:pt idx="10">
                  <c:v>4039</c:v>
                </c:pt>
                <c:pt idx="11">
                  <c:v>4500</c:v>
                </c:pt>
                <c:pt idx="12">
                  <c:v>4357</c:v>
                </c:pt>
                <c:pt idx="13">
                  <c:v>5443</c:v>
                </c:pt>
                <c:pt idx="14">
                  <c:v>4927</c:v>
                </c:pt>
                <c:pt idx="15">
                  <c:v>5156</c:v>
                </c:pt>
                <c:pt idx="16">
                  <c:v>5376</c:v>
                </c:pt>
                <c:pt idx="17">
                  <c:v>5722</c:v>
                </c:pt>
                <c:pt idx="18">
                  <c:v>4538</c:v>
                </c:pt>
                <c:pt idx="19">
                  <c:v>4342</c:v>
                </c:pt>
                <c:pt idx="20">
                  <c:v>3898</c:v>
                </c:pt>
                <c:pt idx="21">
                  <c:v>3824</c:v>
                </c:pt>
                <c:pt idx="22">
                  <c:v>4139</c:v>
                </c:pt>
                <c:pt idx="23" formatCode="0">
                  <c:v>5048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877-4689-8250-8DBD4DDD53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69352928"/>
        <c:axId val="469349792"/>
      </c:lineChart>
      <c:dateAx>
        <c:axId val="469352928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69349792"/>
        <c:crosses val="autoZero"/>
        <c:auto val="1"/>
        <c:lblOffset val="100"/>
        <c:baseTimeUnit val="months"/>
      </c:dateAx>
      <c:valAx>
        <c:axId val="469349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693529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Коэффициент</a:t>
            </a:r>
            <a:r>
              <a:rPr lang="ru-RU" baseline="0"/>
              <a:t> сезонности</a:t>
            </a:r>
          </a:p>
        </c:rich>
      </c:tx>
      <c:layout>
        <c:manualLayout>
          <c:xMode val="edge"/>
          <c:yMode val="edge"/>
          <c:x val="0.31223600174978128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'Сравнение базы и сезонности'!$A$2:$A$25</c:f>
              <c:numCache>
                <c:formatCode>mmm\-yy</c:formatCode>
                <c:ptCount val="24"/>
                <c:pt idx="0">
                  <c:v>44531</c:v>
                </c:pt>
                <c:pt idx="1">
                  <c:v>44562</c:v>
                </c:pt>
                <c:pt idx="2">
                  <c:v>44593</c:v>
                </c:pt>
                <c:pt idx="3">
                  <c:v>44621</c:v>
                </c:pt>
                <c:pt idx="4">
                  <c:v>44652</c:v>
                </c:pt>
                <c:pt idx="5">
                  <c:v>44682</c:v>
                </c:pt>
                <c:pt idx="6">
                  <c:v>44713</c:v>
                </c:pt>
                <c:pt idx="7">
                  <c:v>44743</c:v>
                </c:pt>
                <c:pt idx="8">
                  <c:v>44774</c:v>
                </c:pt>
                <c:pt idx="9">
                  <c:v>44805</c:v>
                </c:pt>
                <c:pt idx="10">
                  <c:v>44835</c:v>
                </c:pt>
                <c:pt idx="11">
                  <c:v>44866</c:v>
                </c:pt>
                <c:pt idx="12">
                  <c:v>44896</c:v>
                </c:pt>
                <c:pt idx="13">
                  <c:v>44927</c:v>
                </c:pt>
                <c:pt idx="14">
                  <c:v>44958</c:v>
                </c:pt>
                <c:pt idx="15">
                  <c:v>44986</c:v>
                </c:pt>
                <c:pt idx="16">
                  <c:v>45017</c:v>
                </c:pt>
                <c:pt idx="17">
                  <c:v>45047</c:v>
                </c:pt>
                <c:pt idx="18">
                  <c:v>45078</c:v>
                </c:pt>
                <c:pt idx="19">
                  <c:v>45108</c:v>
                </c:pt>
                <c:pt idx="20">
                  <c:v>45139</c:v>
                </c:pt>
                <c:pt idx="21">
                  <c:v>45170</c:v>
                </c:pt>
                <c:pt idx="22">
                  <c:v>45200</c:v>
                </c:pt>
                <c:pt idx="23">
                  <c:v>45231</c:v>
                </c:pt>
              </c:numCache>
            </c:numRef>
          </c:cat>
          <c:val>
            <c:numRef>
              <c:f>'Сравнение базы и сезонности'!$C$2:$C$25</c:f>
              <c:numCache>
                <c:formatCode>0.00</c:formatCode>
                <c:ptCount val="24"/>
                <c:pt idx="0">
                  <c:v>1.25</c:v>
                </c:pt>
                <c:pt idx="1">
                  <c:v>1.23</c:v>
                </c:pt>
                <c:pt idx="2">
                  <c:v>1.24</c:v>
                </c:pt>
                <c:pt idx="3">
                  <c:v>1.76</c:v>
                </c:pt>
                <c:pt idx="4">
                  <c:v>1.3</c:v>
                </c:pt>
                <c:pt idx="5">
                  <c:v>1.2</c:v>
                </c:pt>
                <c:pt idx="6">
                  <c:v>1.1000000000000001</c:v>
                </c:pt>
                <c:pt idx="7">
                  <c:v>1.1499999999999999</c:v>
                </c:pt>
                <c:pt idx="8">
                  <c:v>1.1200000000000001</c:v>
                </c:pt>
                <c:pt idx="9">
                  <c:v>0.93</c:v>
                </c:pt>
                <c:pt idx="10">
                  <c:v>0.85</c:v>
                </c:pt>
                <c:pt idx="11">
                  <c:v>0.78</c:v>
                </c:pt>
                <c:pt idx="12">
                  <c:v>0.62</c:v>
                </c:pt>
                <c:pt idx="13">
                  <c:v>0.68</c:v>
                </c:pt>
                <c:pt idx="14">
                  <c:v>0.71</c:v>
                </c:pt>
                <c:pt idx="15">
                  <c:v>0.84</c:v>
                </c:pt>
                <c:pt idx="16">
                  <c:v>0.76</c:v>
                </c:pt>
                <c:pt idx="17">
                  <c:v>0.76</c:v>
                </c:pt>
                <c:pt idx="18">
                  <c:v>0.78</c:v>
                </c:pt>
                <c:pt idx="19">
                  <c:v>0.91</c:v>
                </c:pt>
                <c:pt idx="20">
                  <c:v>0.95</c:v>
                </c:pt>
                <c:pt idx="21">
                  <c:v>0.97</c:v>
                </c:pt>
                <c:pt idx="22">
                  <c:v>1.1399999999999999</c:v>
                </c:pt>
                <c:pt idx="23">
                  <c:v>0.98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DE0E-4F3F-AF97-7915C18605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69351752"/>
        <c:axId val="469347832"/>
      </c:lineChart>
      <c:dateAx>
        <c:axId val="46935175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69347832"/>
        <c:crosses val="autoZero"/>
        <c:auto val="1"/>
        <c:lblOffset val="100"/>
        <c:baseTimeUnit val="months"/>
      </c:dateAx>
      <c:valAx>
        <c:axId val="469347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693517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19</xdr:row>
      <xdr:rowOff>0</xdr:rowOff>
    </xdr:from>
    <xdr:to>
      <xdr:col>10</xdr:col>
      <xdr:colOff>9526</xdr:colOff>
      <xdr:row>40</xdr:row>
      <xdr:rowOff>66675</xdr:rowOff>
    </xdr:to>
    <xdr:pic>
      <xdr:nvPicPr>
        <xdr:cNvPr id="5" name="Рисунок 4" descr="C:\Users\Natalya\Desktop\Screenshot_2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3886200"/>
          <a:ext cx="15259050" cy="4229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</xdr:colOff>
      <xdr:row>43</xdr:row>
      <xdr:rowOff>0</xdr:rowOff>
    </xdr:from>
    <xdr:to>
      <xdr:col>9</xdr:col>
      <xdr:colOff>571501</xdr:colOff>
      <xdr:row>70</xdr:row>
      <xdr:rowOff>66675</xdr:rowOff>
    </xdr:to>
    <xdr:pic>
      <xdr:nvPicPr>
        <xdr:cNvPr id="6" name="Рисунок 5" descr="C:\Users\Natalya\Desktop\Screenshot_3.pn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8648700"/>
          <a:ext cx="15240000" cy="5467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</xdr:colOff>
      <xdr:row>74</xdr:row>
      <xdr:rowOff>0</xdr:rowOff>
    </xdr:from>
    <xdr:to>
      <xdr:col>10</xdr:col>
      <xdr:colOff>19050</xdr:colOff>
      <xdr:row>100</xdr:row>
      <xdr:rowOff>152400</xdr:rowOff>
    </xdr:to>
    <xdr:pic>
      <xdr:nvPicPr>
        <xdr:cNvPr id="7" name="Рисунок 6" descr="C:\Users\Natalya\Desktop\Screenshot_4.png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4849475"/>
          <a:ext cx="15268574" cy="5353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9526</xdr:colOff>
      <xdr:row>29</xdr:row>
      <xdr:rowOff>0</xdr:rowOff>
    </xdr:from>
    <xdr:to>
      <xdr:col>8</xdr:col>
      <xdr:colOff>1</xdr:colOff>
      <xdr:row>55</xdr:row>
      <xdr:rowOff>94619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6" y="6096000"/>
          <a:ext cx="13392150" cy="504761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58</xdr:row>
      <xdr:rowOff>0</xdr:rowOff>
    </xdr:from>
    <xdr:to>
      <xdr:col>7</xdr:col>
      <xdr:colOff>1009649</xdr:colOff>
      <xdr:row>84</xdr:row>
      <xdr:rowOff>142238</xdr:rowOff>
    </xdr:to>
    <xdr:pic>
      <xdr:nvPicPr>
        <xdr:cNvPr id="7" name="Рисунок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1620500"/>
          <a:ext cx="13401674" cy="509523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47625</xdr:colOff>
      <xdr:row>1</xdr:row>
      <xdr:rowOff>23812</xdr:rowOff>
    </xdr:from>
    <xdr:to>
      <xdr:col>11</xdr:col>
      <xdr:colOff>133350</xdr:colOff>
      <xdr:row>15</xdr:row>
      <xdr:rowOff>100012</xdr:rowOff>
    </xdr:to>
    <xdr:graphicFrame macro="">
      <xdr:nvGraphicFramePr>
        <xdr:cNvPr id="4" name="Диаграмма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19049</xdr:colOff>
      <xdr:row>1</xdr:row>
      <xdr:rowOff>4762</xdr:rowOff>
    </xdr:from>
    <xdr:to>
      <xdr:col>20</xdr:col>
      <xdr:colOff>171450</xdr:colOff>
      <xdr:row>15</xdr:row>
      <xdr:rowOff>80962</xdr:rowOff>
    </xdr:to>
    <xdr:graphicFrame macro="">
      <xdr:nvGraphicFramePr>
        <xdr:cNvPr id="5" name="Диаграмма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03"/>
  <sheetViews>
    <sheetView tabSelected="1" workbookViewId="0">
      <selection activeCell="L52" sqref="L52"/>
    </sheetView>
  </sheetViews>
  <sheetFormatPr defaultColWidth="14.42578125" defaultRowHeight="15" customHeight="1"/>
  <cols>
    <col min="1" max="1" width="26.5703125" customWidth="1"/>
    <col min="2" max="2" width="22.140625" customWidth="1"/>
    <col min="3" max="3" width="24.140625" customWidth="1"/>
    <col min="4" max="4" width="24.7109375" customWidth="1"/>
    <col min="5" max="5" width="24.42578125" customWidth="1"/>
    <col min="6" max="6" width="35.5703125" customWidth="1"/>
    <col min="7" max="7" width="35.28515625" customWidth="1"/>
    <col min="8" max="8" width="18.42578125" customWidth="1"/>
    <col min="9" max="25" width="8.7109375" customWidth="1"/>
  </cols>
  <sheetData>
    <row r="1" spans="1:8" ht="25.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</row>
    <row r="2" spans="1:8" ht="25.5">
      <c r="A2" s="44" t="s">
        <v>181</v>
      </c>
      <c r="B2" s="3" t="s">
        <v>8</v>
      </c>
      <c r="C2" s="3" t="s">
        <v>37</v>
      </c>
      <c r="D2" s="3" t="s">
        <v>9</v>
      </c>
      <c r="E2" s="3" t="s">
        <v>10</v>
      </c>
      <c r="F2" s="3" t="s">
        <v>11</v>
      </c>
      <c r="G2" s="3" t="s">
        <v>12</v>
      </c>
      <c r="H2" s="3" t="s">
        <v>180</v>
      </c>
    </row>
    <row r="3" spans="1:8">
      <c r="A3" s="4"/>
      <c r="B3" s="4"/>
      <c r="C3" s="4"/>
      <c r="D3" s="4"/>
      <c r="E3" s="4"/>
      <c r="F3" s="43" t="s">
        <v>174</v>
      </c>
      <c r="G3" s="4"/>
      <c r="H3" s="4"/>
    </row>
    <row r="4" spans="1:8">
      <c r="A4" s="4"/>
      <c r="B4" s="4"/>
      <c r="C4" s="4"/>
      <c r="D4" s="4"/>
      <c r="E4" s="4"/>
      <c r="F4" s="43" t="s">
        <v>175</v>
      </c>
      <c r="G4" s="4"/>
      <c r="H4" s="4"/>
    </row>
    <row r="5" spans="1:8">
      <c r="A5" s="4"/>
      <c r="B5" s="4"/>
      <c r="C5" s="4"/>
      <c r="D5" s="4"/>
      <c r="E5" s="4"/>
      <c r="F5" s="43" t="s">
        <v>176</v>
      </c>
      <c r="G5" s="4"/>
      <c r="H5" s="4"/>
    </row>
    <row r="6" spans="1:8">
      <c r="A6" s="4"/>
      <c r="B6" s="4"/>
      <c r="C6" s="4"/>
      <c r="D6" s="4"/>
      <c r="E6" s="4"/>
      <c r="F6" s="43" t="s">
        <v>177</v>
      </c>
      <c r="G6" s="4"/>
      <c r="H6" s="4"/>
    </row>
    <row r="7" spans="1:8">
      <c r="A7" s="4"/>
      <c r="B7" s="4"/>
      <c r="C7" s="4"/>
      <c r="D7" s="4"/>
      <c r="E7" s="4"/>
      <c r="F7" s="43" t="s">
        <v>178</v>
      </c>
      <c r="G7" s="4"/>
      <c r="H7" s="4"/>
    </row>
    <row r="8" spans="1:8">
      <c r="A8" s="4"/>
      <c r="B8" s="4"/>
      <c r="C8" s="4"/>
      <c r="D8" s="4"/>
      <c r="E8" s="4"/>
      <c r="F8" s="43" t="s">
        <v>179</v>
      </c>
      <c r="G8" s="4"/>
      <c r="H8" s="4"/>
    </row>
    <row r="9" spans="1:8">
      <c r="A9" s="4"/>
      <c r="B9" s="4"/>
      <c r="C9" s="4"/>
      <c r="D9" s="4"/>
      <c r="E9" s="4"/>
      <c r="F9" s="6"/>
      <c r="G9" s="4"/>
      <c r="H9" s="4"/>
    </row>
    <row r="10" spans="1:8">
      <c r="A10" s="4"/>
      <c r="B10" s="4"/>
      <c r="C10" s="4"/>
      <c r="D10" s="4"/>
      <c r="E10" s="4"/>
      <c r="F10" s="6"/>
      <c r="G10" s="4"/>
      <c r="H10" s="4"/>
    </row>
    <row r="11" spans="1:8">
      <c r="A11" s="4"/>
      <c r="B11" s="4"/>
      <c r="C11" s="4"/>
      <c r="D11" s="4"/>
      <c r="E11" s="4"/>
      <c r="F11" s="6"/>
      <c r="G11" s="4"/>
      <c r="H11" s="4"/>
    </row>
    <row r="12" spans="1:8">
      <c r="A12" s="4"/>
      <c r="B12" s="4"/>
      <c r="C12" s="4"/>
      <c r="D12" s="4"/>
      <c r="E12" s="4"/>
      <c r="F12" s="4"/>
      <c r="G12" s="4"/>
      <c r="H12" s="4"/>
    </row>
    <row r="13" spans="1:8">
      <c r="A13" s="5"/>
      <c r="B13" s="5"/>
      <c r="C13" s="5"/>
      <c r="D13" s="5"/>
      <c r="E13" s="5"/>
      <c r="F13" s="5"/>
      <c r="G13" s="5"/>
      <c r="H13" s="5"/>
    </row>
    <row r="14" spans="1:8">
      <c r="A14" s="6"/>
      <c r="B14" s="6"/>
      <c r="C14" s="6"/>
      <c r="D14" s="6"/>
      <c r="E14" s="6"/>
      <c r="F14" s="6"/>
      <c r="G14" s="6"/>
      <c r="H14" s="6"/>
    </row>
    <row r="15" spans="1:8">
      <c r="A15" s="6"/>
      <c r="B15" s="6"/>
      <c r="C15" s="6"/>
      <c r="D15" s="6"/>
      <c r="E15" s="6"/>
      <c r="F15" s="6"/>
      <c r="G15" s="6"/>
      <c r="H15" s="6"/>
    </row>
    <row r="16" spans="1:8">
      <c r="A16" s="6"/>
      <c r="B16" s="6"/>
      <c r="C16" s="6"/>
      <c r="D16" s="6"/>
      <c r="E16" s="6"/>
      <c r="F16" s="6"/>
      <c r="G16" s="6"/>
      <c r="H16" s="6"/>
    </row>
    <row r="17" spans="1:8">
      <c r="A17" s="6"/>
      <c r="B17" s="6"/>
      <c r="C17" s="6"/>
      <c r="D17" s="6"/>
      <c r="E17" s="6"/>
      <c r="F17" s="6"/>
      <c r="G17" s="6"/>
      <c r="H17" s="6"/>
    </row>
    <row r="18" spans="1:8">
      <c r="A18" s="6"/>
      <c r="B18" s="6"/>
      <c r="C18" s="6"/>
      <c r="D18" s="6"/>
      <c r="E18" s="6"/>
      <c r="F18" s="6"/>
      <c r="G18" s="6"/>
      <c r="H18" s="6"/>
    </row>
    <row r="24" spans="1:8" ht="15.75" customHeight="1"/>
    <row r="25" spans="1:8" ht="15.75" customHeight="1"/>
    <row r="26" spans="1:8" ht="15.75" customHeight="1"/>
    <row r="27" spans="1:8" ht="15.75" customHeight="1"/>
    <row r="28" spans="1:8" ht="15.75" customHeight="1"/>
    <row r="29" spans="1:8" ht="15.75" customHeight="1"/>
    <row r="30" spans="1:8" ht="15.75" customHeight="1"/>
    <row r="31" spans="1:8" ht="15.75" customHeight="1"/>
    <row r="32" spans="1:8" ht="15.75" customHeight="1"/>
    <row r="33" spans="1:1" ht="15.75" customHeight="1"/>
    <row r="34" spans="1:1" ht="15.75" customHeight="1"/>
    <row r="35" spans="1:1" ht="15.75" customHeight="1"/>
    <row r="36" spans="1:1" ht="15.75" customHeight="1"/>
    <row r="37" spans="1:1" ht="15.75" customHeight="1"/>
    <row r="38" spans="1:1" ht="15.75" customHeight="1"/>
    <row r="39" spans="1:1" ht="15.75" customHeight="1"/>
    <row r="40" spans="1:1" ht="15.75" customHeight="1"/>
    <row r="41" spans="1:1" ht="15.75" customHeight="1"/>
    <row r="42" spans="1:1" ht="15.75" customHeight="1">
      <c r="A42" s="45" t="s">
        <v>181</v>
      </c>
    </row>
    <row r="43" spans="1:1" ht="15.75" customHeight="1"/>
    <row r="44" spans="1:1" ht="15.75" customHeight="1"/>
    <row r="45" spans="1:1" ht="15.75" customHeight="1"/>
    <row r="46" spans="1:1" ht="15.75" customHeight="1"/>
    <row r="47" spans="1:1" ht="15.75" customHeight="1"/>
    <row r="48" spans="1:1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spans="1:1" ht="15.75" customHeight="1"/>
    <row r="66" spans="1:1" ht="15.75" customHeight="1"/>
    <row r="67" spans="1:1" ht="15.75" customHeight="1"/>
    <row r="68" spans="1:1" ht="15.75" customHeight="1"/>
    <row r="69" spans="1:1" ht="15.75" customHeight="1"/>
    <row r="70" spans="1:1" ht="15.75" customHeight="1"/>
    <row r="71" spans="1:1" ht="15.75" customHeight="1"/>
    <row r="72" spans="1:1" ht="15.75" customHeight="1"/>
    <row r="73" spans="1:1" ht="15.75" customHeight="1">
      <c r="A73" s="45" t="s">
        <v>182</v>
      </c>
    </row>
    <row r="74" spans="1:1" ht="15.75" customHeight="1"/>
    <row r="75" spans="1:1" ht="15.75" customHeight="1"/>
    <row r="76" spans="1:1" ht="15.75" customHeight="1"/>
    <row r="77" spans="1:1" ht="15.75" customHeight="1"/>
    <row r="78" spans="1:1" ht="15.75" customHeight="1"/>
    <row r="79" spans="1:1" ht="15.75" customHeight="1"/>
    <row r="80" spans="1:1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</sheetData>
  <pageMargins left="0.7" right="0.7" top="0.75" bottom="0.75" header="0" footer="0"/>
  <pageSetup paperSize="9" firstPageNumber="429496729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03"/>
  <sheetViews>
    <sheetView workbookViewId="0">
      <selection activeCell="I12" sqref="I12"/>
    </sheetView>
  </sheetViews>
  <sheetFormatPr defaultColWidth="14.42578125" defaultRowHeight="15" customHeight="1"/>
  <cols>
    <col min="1" max="1" width="24.140625" customWidth="1"/>
    <col min="2" max="2" width="22.42578125" customWidth="1"/>
    <col min="3" max="3" width="11.7109375" customWidth="1"/>
    <col min="4" max="26" width="8.7109375" customWidth="1"/>
  </cols>
  <sheetData>
    <row r="1" spans="1:3">
      <c r="A1" s="46" t="s">
        <v>13</v>
      </c>
      <c r="B1" s="46" t="s">
        <v>14</v>
      </c>
    </row>
    <row r="2" spans="1:3">
      <c r="A2" s="47">
        <v>44501</v>
      </c>
      <c r="B2" s="24">
        <f>3194+569</f>
        <v>3763</v>
      </c>
    </row>
    <row r="3" spans="1:3">
      <c r="A3" s="47">
        <v>44531</v>
      </c>
      <c r="B3" s="24">
        <f>2746+708</f>
        <v>3454</v>
      </c>
    </row>
    <row r="4" spans="1:3">
      <c r="A4" s="47">
        <v>44562</v>
      </c>
      <c r="B4" s="24">
        <f>3137+945</f>
        <v>4082</v>
      </c>
    </row>
    <row r="5" spans="1:3">
      <c r="A5" s="47">
        <v>44593</v>
      </c>
      <c r="B5" s="24">
        <f>3162+1220</f>
        <v>4382</v>
      </c>
    </row>
    <row r="6" spans="1:3">
      <c r="A6" s="47">
        <v>44621</v>
      </c>
      <c r="B6" s="24">
        <f>6195+3059</f>
        <v>9254</v>
      </c>
    </row>
    <row r="7" spans="1:3">
      <c r="A7" s="47">
        <v>44652</v>
      </c>
      <c r="B7" s="24">
        <f>4561+2660</f>
        <v>7221</v>
      </c>
    </row>
    <row r="8" spans="1:3">
      <c r="A8" s="47">
        <v>44682</v>
      </c>
      <c r="B8" s="24">
        <f>3599+2792</f>
        <v>6391</v>
      </c>
    </row>
    <row r="9" spans="1:3">
      <c r="A9" s="47">
        <v>44713</v>
      </c>
      <c r="B9" s="24">
        <f>3768+2756</f>
        <v>6524</v>
      </c>
    </row>
    <row r="10" spans="1:3">
      <c r="A10" s="47">
        <v>44743</v>
      </c>
      <c r="B10" s="24">
        <f>4119+2148</f>
        <v>6267</v>
      </c>
    </row>
    <row r="11" spans="1:3">
      <c r="A11" s="47">
        <v>44774</v>
      </c>
      <c r="B11" s="24">
        <f>3581+1840</f>
        <v>5421</v>
      </c>
    </row>
    <row r="12" spans="1:3">
      <c r="A12" s="47">
        <v>44805</v>
      </c>
      <c r="B12" s="24">
        <f>2690+1642</f>
        <v>4332</v>
      </c>
    </row>
    <row r="13" spans="1:3">
      <c r="A13" s="47">
        <v>44835</v>
      </c>
      <c r="B13" s="24">
        <f>2503+1536</f>
        <v>4039</v>
      </c>
    </row>
    <row r="14" spans="1:3">
      <c r="A14" s="47">
        <v>44866</v>
      </c>
      <c r="B14" s="24">
        <f>3022+1478</f>
        <v>4500</v>
      </c>
      <c r="C14" s="11"/>
    </row>
    <row r="15" spans="1:3">
      <c r="A15" s="47">
        <v>44896</v>
      </c>
      <c r="B15" s="24">
        <f>2802+1555</f>
        <v>4357</v>
      </c>
    </row>
    <row r="16" spans="1:3">
      <c r="A16" s="47">
        <v>44927</v>
      </c>
      <c r="B16" s="24">
        <f>3255+2188</f>
        <v>5443</v>
      </c>
    </row>
    <row r="17" spans="1:2">
      <c r="A17" s="47">
        <v>44958</v>
      </c>
      <c r="B17" s="24">
        <f>3165+1762</f>
        <v>4927</v>
      </c>
    </row>
    <row r="18" spans="1:2">
      <c r="A18" s="48">
        <v>44986</v>
      </c>
      <c r="B18" s="24">
        <f>3433+1723</f>
        <v>5156</v>
      </c>
    </row>
    <row r="19" spans="1:2">
      <c r="A19" s="48">
        <v>45017</v>
      </c>
      <c r="B19" s="24">
        <f>3615+1761</f>
        <v>5376</v>
      </c>
    </row>
    <row r="20" spans="1:2">
      <c r="A20" s="48">
        <v>45047</v>
      </c>
      <c r="B20" s="24">
        <f>3701+2021</f>
        <v>5722</v>
      </c>
    </row>
    <row r="21" spans="1:2">
      <c r="A21" s="48">
        <v>45078</v>
      </c>
      <c r="B21" s="24">
        <f>3205+1333</f>
        <v>4538</v>
      </c>
    </row>
    <row r="22" spans="1:2">
      <c r="A22" s="48">
        <v>45108</v>
      </c>
      <c r="B22" s="24">
        <f>2868+1474</f>
        <v>4342</v>
      </c>
    </row>
    <row r="23" spans="1:2">
      <c r="A23" s="48">
        <v>45139</v>
      </c>
      <c r="B23" s="24">
        <f>2670+1228</f>
        <v>3898</v>
      </c>
    </row>
    <row r="24" spans="1:2">
      <c r="A24" s="48">
        <v>45170</v>
      </c>
      <c r="B24" s="24">
        <f>2492+1332</f>
        <v>3824</v>
      </c>
    </row>
    <row r="25" spans="1:2" ht="15.75" customHeight="1">
      <c r="A25" s="48">
        <v>45200</v>
      </c>
      <c r="B25" s="24">
        <f>3091+1048</f>
        <v>4139</v>
      </c>
    </row>
    <row r="26" spans="1:2" ht="15.75" customHeight="1">
      <c r="A26" s="49">
        <v>45231</v>
      </c>
      <c r="B26" s="24">
        <f>3950+1098</f>
        <v>5048</v>
      </c>
    </row>
    <row r="27" spans="1:2" ht="15.75" customHeight="1">
      <c r="A27" s="50">
        <v>45261</v>
      </c>
      <c r="B27" s="23"/>
    </row>
    <row r="28" spans="1:2" ht="15.75" customHeight="1">
      <c r="A28" s="50">
        <v>45292</v>
      </c>
      <c r="B28" s="23"/>
    </row>
    <row r="29" spans="1:2" ht="15.75" customHeight="1">
      <c r="A29" s="51">
        <v>45323</v>
      </c>
      <c r="B29" s="23"/>
    </row>
    <row r="30" spans="1:2" ht="15.75" customHeight="1">
      <c r="A30" s="50">
        <v>45352</v>
      </c>
      <c r="B30" s="23"/>
    </row>
    <row r="31" spans="1:2" ht="15.75" customHeight="1">
      <c r="A31" s="50">
        <v>45383</v>
      </c>
      <c r="B31" s="23"/>
    </row>
    <row r="32" spans="1:2" ht="15.75" customHeight="1">
      <c r="A32" s="50">
        <v>45413</v>
      </c>
      <c r="B32" s="23"/>
    </row>
    <row r="33" spans="1:2" ht="15.75" customHeight="1">
      <c r="A33" s="50">
        <v>45444</v>
      </c>
      <c r="B33" s="23"/>
    </row>
    <row r="34" spans="1:2" ht="15.75" customHeight="1">
      <c r="A34" s="50">
        <v>45474</v>
      </c>
      <c r="B34" s="23"/>
    </row>
    <row r="35" spans="1:2" ht="15.75" customHeight="1">
      <c r="A35" s="50">
        <v>45505</v>
      </c>
      <c r="B35" s="23"/>
    </row>
    <row r="36" spans="1:2" ht="15.75" customHeight="1">
      <c r="A36" s="50">
        <v>45536</v>
      </c>
      <c r="B36" s="23"/>
    </row>
    <row r="37" spans="1:2" ht="15.75" customHeight="1">
      <c r="A37" s="50">
        <v>45566</v>
      </c>
      <c r="B37" s="23"/>
    </row>
    <row r="38" spans="1:2" ht="15.75" customHeight="1">
      <c r="A38" s="52">
        <v>45597</v>
      </c>
      <c r="B38" s="23"/>
    </row>
    <row r="39" spans="1:2" ht="15.75" customHeight="1">
      <c r="A39" s="50">
        <v>45627</v>
      </c>
      <c r="B39" s="23"/>
    </row>
    <row r="40" spans="1:2" ht="15.75" customHeight="1"/>
    <row r="41" spans="1:2" ht="15.75" customHeight="1"/>
    <row r="42" spans="1:2" ht="15.75" customHeight="1"/>
    <row r="43" spans="1:2" ht="15.75" customHeight="1"/>
    <row r="44" spans="1:2" ht="15.75" customHeight="1"/>
    <row r="45" spans="1:2" ht="15.75" customHeight="1"/>
    <row r="46" spans="1:2" ht="15.75" customHeight="1"/>
    <row r="47" spans="1:2" ht="15.75" customHeight="1"/>
    <row r="48" spans="1:2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</sheetData>
  <pageMargins left="0.7" right="0.7" top="0.75" bottom="0.75" header="0" footer="0"/>
  <pageSetup paperSize="9" firstPageNumber="429496729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B2"/>
  <sheetViews>
    <sheetView workbookViewId="0">
      <selection activeCell="B8" sqref="B8"/>
    </sheetView>
  </sheetViews>
  <sheetFormatPr defaultColWidth="14.42578125" defaultRowHeight="15" customHeight="1"/>
  <cols>
    <col min="1" max="1" width="35.85546875" customWidth="1"/>
    <col min="2" max="2" width="44.42578125" customWidth="1"/>
  </cols>
  <sheetData>
    <row r="1" spans="1:2">
      <c r="A1" s="53" t="s">
        <v>15</v>
      </c>
      <c r="B1" s="22" t="s">
        <v>16</v>
      </c>
    </row>
    <row r="2" spans="1:2" ht="58.5" customHeight="1">
      <c r="A2" s="54" t="s">
        <v>38</v>
      </c>
      <c r="B2" s="55" t="s">
        <v>39</v>
      </c>
    </row>
  </sheetData>
  <pageMargins left="0.7" right="0.7" top="0.75" bottom="0.75" header="0.3" footer="0.3"/>
  <pageSetup paperSize="9" firstPageNumber="4294967295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"/>
  <sheetViews>
    <sheetView workbookViewId="0">
      <selection activeCell="F26" sqref="F26"/>
    </sheetView>
  </sheetViews>
  <sheetFormatPr defaultRowHeight="15"/>
  <cols>
    <col min="1" max="1" width="37.42578125" customWidth="1"/>
    <col min="2" max="2" width="15.140625" customWidth="1"/>
    <col min="3" max="3" width="36.85546875" customWidth="1"/>
    <col min="4" max="4" width="15.85546875" customWidth="1"/>
    <col min="5" max="5" width="28.85546875" customWidth="1"/>
    <col min="6" max="6" width="20.7109375" customWidth="1"/>
    <col min="7" max="7" width="31" customWidth="1"/>
    <col min="8" max="8" width="15.140625" customWidth="1"/>
    <col min="9" max="9" width="21.28515625" customWidth="1"/>
    <col min="10" max="10" width="13.140625" customWidth="1"/>
    <col min="11" max="11" width="17" customWidth="1"/>
  </cols>
  <sheetData>
    <row r="1" spans="1:13" ht="60">
      <c r="A1" s="56" t="s">
        <v>40</v>
      </c>
      <c r="B1" s="57" t="s">
        <v>42</v>
      </c>
      <c r="C1" s="58" t="s">
        <v>41</v>
      </c>
      <c r="D1" s="57" t="s">
        <v>42</v>
      </c>
      <c r="E1" s="59" t="s">
        <v>17</v>
      </c>
      <c r="F1" s="20" t="s">
        <v>18</v>
      </c>
      <c r="G1" s="20" t="s">
        <v>19</v>
      </c>
      <c r="H1" s="14"/>
      <c r="I1" s="14"/>
      <c r="J1" s="13"/>
      <c r="K1" s="13"/>
    </row>
    <row r="2" spans="1:13">
      <c r="A2" s="47">
        <v>44531</v>
      </c>
      <c r="B2" s="38">
        <v>39755</v>
      </c>
      <c r="C2" s="47">
        <v>44531</v>
      </c>
      <c r="D2" s="38">
        <v>18426</v>
      </c>
      <c r="E2" s="47">
        <v>44531</v>
      </c>
      <c r="F2" s="38">
        <f>B2+D2</f>
        <v>58181</v>
      </c>
      <c r="G2" s="37">
        <f>F2/46619</f>
        <v>1.2480104678350028</v>
      </c>
      <c r="H2" s="15"/>
      <c r="I2" s="8"/>
      <c r="J2" s="15"/>
      <c r="K2" s="16"/>
    </row>
    <row r="3" spans="1:13">
      <c r="A3" s="47">
        <v>44562</v>
      </c>
      <c r="B3" s="38">
        <v>37136</v>
      </c>
      <c r="C3" s="47">
        <v>44562</v>
      </c>
      <c r="D3" s="38">
        <v>20255</v>
      </c>
      <c r="E3" s="47">
        <v>44562</v>
      </c>
      <c r="F3" s="38">
        <f t="shared" ref="F3:F25" si="0">B3+D3</f>
        <v>57391</v>
      </c>
      <c r="G3" s="37">
        <f t="shared" ref="G3:G25" si="1">F3/46619</f>
        <v>1.231064587399987</v>
      </c>
      <c r="H3" s="15"/>
      <c r="I3" s="8"/>
      <c r="J3" s="15"/>
      <c r="K3" s="16"/>
    </row>
    <row r="4" spans="1:13">
      <c r="A4" s="47">
        <v>44593</v>
      </c>
      <c r="B4" s="38">
        <v>39639</v>
      </c>
      <c r="C4" s="47">
        <v>44593</v>
      </c>
      <c r="D4" s="38">
        <v>18038</v>
      </c>
      <c r="E4" s="47">
        <v>44593</v>
      </c>
      <c r="F4" s="38">
        <f t="shared" si="0"/>
        <v>57677</v>
      </c>
      <c r="G4" s="37">
        <f t="shared" si="1"/>
        <v>1.2371994251270941</v>
      </c>
      <c r="H4" s="15"/>
      <c r="I4" s="9"/>
      <c r="J4" s="15"/>
      <c r="K4" s="16"/>
    </row>
    <row r="5" spans="1:13">
      <c r="A5" s="47">
        <v>44621</v>
      </c>
      <c r="B5" s="38">
        <v>59576</v>
      </c>
      <c r="C5" s="47">
        <v>44621</v>
      </c>
      <c r="D5" s="38">
        <v>22284</v>
      </c>
      <c r="E5" s="47">
        <v>44621</v>
      </c>
      <c r="F5" s="38">
        <f t="shared" si="0"/>
        <v>81860</v>
      </c>
      <c r="G5" s="37">
        <f t="shared" si="1"/>
        <v>1.7559364207726464</v>
      </c>
      <c r="H5" s="15"/>
      <c r="I5" s="9"/>
      <c r="J5" s="15"/>
      <c r="K5" s="16"/>
    </row>
    <row r="6" spans="1:13">
      <c r="A6" s="47">
        <v>44652</v>
      </c>
      <c r="B6" s="38">
        <v>44709</v>
      </c>
      <c r="C6" s="47">
        <v>44652</v>
      </c>
      <c r="D6" s="38">
        <v>15813</v>
      </c>
      <c r="E6" s="47">
        <v>44652</v>
      </c>
      <c r="F6" s="38">
        <f t="shared" si="0"/>
        <v>60522</v>
      </c>
      <c r="G6" s="37">
        <f t="shared" si="1"/>
        <v>1.2982260451747141</v>
      </c>
      <c r="H6" s="15"/>
      <c r="I6" s="9"/>
      <c r="J6" s="15"/>
      <c r="K6" s="16"/>
    </row>
    <row r="7" spans="1:13">
      <c r="A7" s="47">
        <v>44682</v>
      </c>
      <c r="B7" s="38">
        <v>41399</v>
      </c>
      <c r="C7" s="47">
        <v>44682</v>
      </c>
      <c r="D7" s="38">
        <v>14394</v>
      </c>
      <c r="E7" s="47">
        <v>44682</v>
      </c>
      <c r="F7" s="38">
        <f t="shared" si="0"/>
        <v>55793</v>
      </c>
      <c r="G7" s="37">
        <f t="shared" si="1"/>
        <v>1.1967867178618159</v>
      </c>
      <c r="H7" s="15"/>
      <c r="I7" s="9"/>
      <c r="J7" s="15"/>
      <c r="K7" s="16"/>
    </row>
    <row r="8" spans="1:13">
      <c r="A8" s="47">
        <v>44713</v>
      </c>
      <c r="B8" s="38">
        <v>38611</v>
      </c>
      <c r="C8" s="47">
        <v>44713</v>
      </c>
      <c r="D8" s="38">
        <v>12611</v>
      </c>
      <c r="E8" s="47">
        <v>44713</v>
      </c>
      <c r="F8" s="38">
        <f t="shared" si="0"/>
        <v>51222</v>
      </c>
      <c r="G8" s="37">
        <f t="shared" si="1"/>
        <v>1.098736566635921</v>
      </c>
      <c r="H8" s="15"/>
      <c r="I8" s="9"/>
      <c r="J8" s="15"/>
      <c r="K8" s="16"/>
    </row>
    <row r="9" spans="1:13">
      <c r="A9" s="47">
        <v>44743</v>
      </c>
      <c r="B9" s="38">
        <v>40229</v>
      </c>
      <c r="C9" s="47">
        <v>44743</v>
      </c>
      <c r="D9" s="38">
        <v>13347</v>
      </c>
      <c r="E9" s="47">
        <v>44743</v>
      </c>
      <c r="F9" s="38">
        <f t="shared" si="0"/>
        <v>53576</v>
      </c>
      <c r="G9" s="37">
        <f t="shared" si="1"/>
        <v>1.1492310002359554</v>
      </c>
      <c r="H9" s="15"/>
      <c r="I9" s="9"/>
      <c r="J9" s="15"/>
      <c r="K9" s="16"/>
    </row>
    <row r="10" spans="1:13">
      <c r="A10" s="47">
        <v>44774</v>
      </c>
      <c r="B10" s="38">
        <v>38707</v>
      </c>
      <c r="C10" s="47">
        <v>44774</v>
      </c>
      <c r="D10" s="38">
        <v>13327</v>
      </c>
      <c r="E10" s="47">
        <v>44774</v>
      </c>
      <c r="F10" s="38">
        <f t="shared" si="0"/>
        <v>52034</v>
      </c>
      <c r="G10" s="37">
        <f t="shared" si="1"/>
        <v>1.1161543576653297</v>
      </c>
      <c r="H10" s="15"/>
      <c r="I10" s="9"/>
      <c r="J10" s="15"/>
      <c r="K10" s="16"/>
    </row>
    <row r="11" spans="1:13">
      <c r="A11" s="47">
        <v>44805</v>
      </c>
      <c r="B11" s="38">
        <v>32190</v>
      </c>
      <c r="C11" s="47">
        <v>44805</v>
      </c>
      <c r="D11" s="38">
        <v>11139</v>
      </c>
      <c r="E11" s="47">
        <v>44805</v>
      </c>
      <c r="F11" s="38">
        <f t="shared" si="0"/>
        <v>43329</v>
      </c>
      <c r="G11" s="37">
        <f t="shared" si="1"/>
        <v>0.92942791565670646</v>
      </c>
      <c r="H11" s="15"/>
      <c r="I11" s="9"/>
      <c r="J11" s="15"/>
      <c r="K11" s="16"/>
    </row>
    <row r="12" spans="1:13">
      <c r="A12" s="47">
        <v>44835</v>
      </c>
      <c r="B12" s="38">
        <v>26329</v>
      </c>
      <c r="C12" s="47">
        <v>44835</v>
      </c>
      <c r="D12" s="38">
        <v>13516</v>
      </c>
      <c r="E12" s="47">
        <v>44835</v>
      </c>
      <c r="F12" s="38">
        <f t="shared" si="0"/>
        <v>39845</v>
      </c>
      <c r="G12" s="37">
        <f t="shared" si="1"/>
        <v>0.85469443789013066</v>
      </c>
      <c r="H12" s="15"/>
      <c r="I12" s="10"/>
      <c r="J12" s="15"/>
      <c r="K12" s="16"/>
    </row>
    <row r="13" spans="1:13">
      <c r="A13" s="47">
        <v>44866</v>
      </c>
      <c r="B13" s="38">
        <v>26394</v>
      </c>
      <c r="C13" s="47">
        <v>44866</v>
      </c>
      <c r="D13" s="38">
        <v>9832</v>
      </c>
      <c r="E13" s="47">
        <v>44866</v>
      </c>
      <c r="F13" s="38">
        <f t="shared" si="0"/>
        <v>36226</v>
      </c>
      <c r="G13" s="37">
        <f t="shared" si="1"/>
        <v>0.77706514511250779</v>
      </c>
      <c r="H13" s="15"/>
      <c r="I13" s="9"/>
      <c r="J13" s="15"/>
      <c r="K13" s="16"/>
      <c r="M13" s="15"/>
    </row>
    <row r="14" spans="1:13">
      <c r="A14" s="47">
        <v>44896</v>
      </c>
      <c r="B14" s="38">
        <v>20605</v>
      </c>
      <c r="C14" s="47">
        <v>44896</v>
      </c>
      <c r="D14" s="38">
        <v>8187</v>
      </c>
      <c r="E14" s="47">
        <v>44896</v>
      </c>
      <c r="F14" s="38">
        <f t="shared" si="0"/>
        <v>28792</v>
      </c>
      <c r="G14" s="37">
        <f t="shared" si="1"/>
        <v>0.61760226517085304</v>
      </c>
      <c r="H14" s="15"/>
      <c r="I14" s="9"/>
      <c r="J14" s="15"/>
      <c r="K14" s="16"/>
    </row>
    <row r="15" spans="1:13">
      <c r="A15" s="47">
        <v>44927</v>
      </c>
      <c r="B15" s="38">
        <v>22741</v>
      </c>
      <c r="C15" s="47">
        <v>44927</v>
      </c>
      <c r="D15" s="38">
        <v>9177</v>
      </c>
      <c r="E15" s="47">
        <v>44927</v>
      </c>
      <c r="F15" s="38">
        <f t="shared" si="0"/>
        <v>31918</v>
      </c>
      <c r="G15" s="37">
        <f t="shared" si="1"/>
        <v>0.68465647053776357</v>
      </c>
      <c r="H15" s="15"/>
      <c r="I15" s="9"/>
      <c r="J15" s="15"/>
      <c r="K15" s="16"/>
    </row>
    <row r="16" spans="1:13">
      <c r="A16" s="47">
        <v>44958</v>
      </c>
      <c r="B16" s="38">
        <v>24179</v>
      </c>
      <c r="C16" s="47">
        <v>44958</v>
      </c>
      <c r="D16" s="38">
        <v>9101</v>
      </c>
      <c r="E16" s="47">
        <v>44958</v>
      </c>
      <c r="F16" s="38">
        <f t="shared" si="0"/>
        <v>33280</v>
      </c>
      <c r="G16" s="37">
        <f t="shared" si="1"/>
        <v>0.71387202642699332</v>
      </c>
      <c r="H16" s="15"/>
      <c r="I16" s="9"/>
      <c r="J16" s="15"/>
      <c r="K16" s="16"/>
    </row>
    <row r="17" spans="1:11">
      <c r="A17" s="48">
        <v>44986</v>
      </c>
      <c r="B17" s="38">
        <v>29153</v>
      </c>
      <c r="C17" s="48">
        <v>44986</v>
      </c>
      <c r="D17" s="38">
        <v>9925</v>
      </c>
      <c r="E17" s="48">
        <v>44986</v>
      </c>
      <c r="F17" s="38">
        <f t="shared" si="0"/>
        <v>39078</v>
      </c>
      <c r="G17" s="37">
        <f t="shared" si="1"/>
        <v>0.838241918531071</v>
      </c>
      <c r="H17" s="15"/>
      <c r="I17" s="9"/>
      <c r="J17" s="15"/>
      <c r="K17" s="16"/>
    </row>
    <row r="18" spans="1:11">
      <c r="A18" s="48">
        <v>45017</v>
      </c>
      <c r="B18" s="38">
        <v>26904</v>
      </c>
      <c r="C18" s="48">
        <v>45017</v>
      </c>
      <c r="D18" s="38">
        <v>8598</v>
      </c>
      <c r="E18" s="48">
        <v>45017</v>
      </c>
      <c r="F18" s="38">
        <f t="shared" si="0"/>
        <v>35502</v>
      </c>
      <c r="G18" s="37">
        <f t="shared" si="1"/>
        <v>0.76153499646067058</v>
      </c>
      <c r="H18" s="15"/>
      <c r="I18" s="9"/>
      <c r="J18" s="15"/>
      <c r="K18" s="16"/>
    </row>
    <row r="19" spans="1:11">
      <c r="A19" s="48">
        <v>45047</v>
      </c>
      <c r="B19" s="38">
        <v>26997</v>
      </c>
      <c r="C19" s="48">
        <v>45047</v>
      </c>
      <c r="D19" s="38">
        <v>8438</v>
      </c>
      <c r="E19" s="48">
        <v>45047</v>
      </c>
      <c r="F19" s="38">
        <f t="shared" si="0"/>
        <v>35435</v>
      </c>
      <c r="G19" s="37">
        <f t="shared" si="1"/>
        <v>0.7600978141959287</v>
      </c>
      <c r="H19" s="15"/>
      <c r="I19" s="9"/>
      <c r="J19" s="15"/>
      <c r="K19" s="16"/>
    </row>
    <row r="20" spans="1:11">
      <c r="A20" s="48">
        <v>45078</v>
      </c>
      <c r="B20" s="38">
        <v>28267</v>
      </c>
      <c r="C20" s="48">
        <v>45078</v>
      </c>
      <c r="D20" s="38">
        <v>8124</v>
      </c>
      <c r="E20" s="48">
        <v>45078</v>
      </c>
      <c r="F20" s="38">
        <f t="shared" si="0"/>
        <v>36391</v>
      </c>
      <c r="G20" s="37">
        <f t="shared" si="1"/>
        <v>0.78060447457045412</v>
      </c>
      <c r="H20" s="15"/>
      <c r="I20" s="9"/>
      <c r="J20" s="15"/>
      <c r="K20" s="16"/>
    </row>
    <row r="21" spans="1:11">
      <c r="A21" s="48">
        <v>45108</v>
      </c>
      <c r="B21" s="38">
        <v>32682</v>
      </c>
      <c r="C21" s="48">
        <v>45108</v>
      </c>
      <c r="D21" s="38">
        <v>9563</v>
      </c>
      <c r="E21" s="48">
        <v>45108</v>
      </c>
      <c r="F21" s="38">
        <f t="shared" si="0"/>
        <v>42245</v>
      </c>
      <c r="G21" s="37">
        <f t="shared" si="1"/>
        <v>0.90617559364207723</v>
      </c>
      <c r="H21" s="15"/>
      <c r="I21" s="9"/>
      <c r="J21" s="15"/>
      <c r="K21" s="16"/>
    </row>
    <row r="22" spans="1:11">
      <c r="A22" s="48">
        <v>45139</v>
      </c>
      <c r="B22" s="38">
        <v>33734</v>
      </c>
      <c r="C22" s="48">
        <v>45139</v>
      </c>
      <c r="D22" s="38">
        <v>10520</v>
      </c>
      <c r="E22" s="48">
        <v>45139</v>
      </c>
      <c r="F22" s="38">
        <f t="shared" si="0"/>
        <v>44254</v>
      </c>
      <c r="G22" s="37">
        <f t="shared" si="1"/>
        <v>0.94926961110276931</v>
      </c>
      <c r="H22" s="15"/>
      <c r="I22" s="9"/>
      <c r="J22" s="15"/>
      <c r="K22" s="16"/>
    </row>
    <row r="23" spans="1:11">
      <c r="A23" s="48">
        <v>45170</v>
      </c>
      <c r="B23" s="38">
        <v>35012</v>
      </c>
      <c r="C23" s="48">
        <v>45170</v>
      </c>
      <c r="D23" s="38">
        <v>10420</v>
      </c>
      <c r="E23" s="48">
        <v>45170</v>
      </c>
      <c r="F23" s="38">
        <f t="shared" si="0"/>
        <v>45432</v>
      </c>
      <c r="G23" s="37">
        <f t="shared" si="1"/>
        <v>0.9745382783843497</v>
      </c>
      <c r="H23" s="15"/>
      <c r="I23" s="9"/>
      <c r="J23" s="15"/>
      <c r="K23" s="16"/>
    </row>
    <row r="24" spans="1:11">
      <c r="A24" s="48">
        <v>45200</v>
      </c>
      <c r="B24" s="60">
        <v>39927</v>
      </c>
      <c r="C24" s="48">
        <v>45200</v>
      </c>
      <c r="D24" s="60">
        <v>13175</v>
      </c>
      <c r="E24" s="48">
        <v>45200</v>
      </c>
      <c r="F24" s="38">
        <f t="shared" si="0"/>
        <v>53102</v>
      </c>
      <c r="G24" s="37">
        <f t="shared" si="1"/>
        <v>1.1390634719749457</v>
      </c>
      <c r="H24" s="15"/>
      <c r="I24" s="10"/>
      <c r="J24" s="15"/>
      <c r="K24" s="16"/>
    </row>
    <row r="25" spans="1:11">
      <c r="A25" s="49">
        <v>45231</v>
      </c>
      <c r="B25" s="38">
        <v>34962</v>
      </c>
      <c r="C25" s="49">
        <v>45231</v>
      </c>
      <c r="D25" s="38">
        <v>10807</v>
      </c>
      <c r="E25" s="49">
        <v>45231</v>
      </c>
      <c r="F25" s="38">
        <f t="shared" si="0"/>
        <v>45769</v>
      </c>
      <c r="G25" s="37">
        <f t="shared" si="1"/>
        <v>0.98176709067118562</v>
      </c>
      <c r="I25" s="41"/>
      <c r="J25" s="17"/>
    </row>
    <row r="26" spans="1:11">
      <c r="E26" s="45" t="s">
        <v>20</v>
      </c>
      <c r="F26" s="61">
        <f>AVERAGE(F2:F25)</f>
        <v>46618.916666666664</v>
      </c>
      <c r="J26" s="15"/>
    </row>
  </sheetData>
  <pageMargins left="0.7" right="0.7" top="0.75" bottom="0.75" header="0.3" footer="0.3"/>
  <pageSetup paperSize="9" firstPageNumber="4294967295" orientation="portrait" horizontalDpi="0" verticalDpi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72"/>
  <sheetViews>
    <sheetView workbookViewId="0">
      <selection activeCell="H28" sqref="H28"/>
    </sheetView>
  </sheetViews>
  <sheetFormatPr defaultColWidth="14.42578125" defaultRowHeight="15" customHeight="1"/>
  <cols>
    <col min="1" max="1" width="17" bestFit="1" customWidth="1"/>
    <col min="2" max="2" width="21.5703125" customWidth="1"/>
    <col min="3" max="3" width="24.5703125" bestFit="1" customWidth="1"/>
    <col min="4" max="7" width="8.7109375" customWidth="1"/>
    <col min="8" max="8" width="11.85546875" bestFit="1" customWidth="1"/>
    <col min="9" max="9" width="16" bestFit="1" customWidth="1"/>
    <col min="10" max="24" width="8.7109375" customWidth="1"/>
  </cols>
  <sheetData>
    <row r="1" spans="1:9">
      <c r="A1" s="22" t="s">
        <v>21</v>
      </c>
      <c r="B1" s="22" t="s">
        <v>14</v>
      </c>
      <c r="C1" s="22" t="s">
        <v>19</v>
      </c>
      <c r="H1" s="7"/>
      <c r="I1" s="7"/>
    </row>
    <row r="2" spans="1:9">
      <c r="A2" s="47">
        <v>44531</v>
      </c>
      <c r="B2" s="24">
        <v>3454</v>
      </c>
      <c r="C2" s="37">
        <v>1.25</v>
      </c>
      <c r="H2" s="9"/>
      <c r="I2" s="11"/>
    </row>
    <row r="3" spans="1:9" ht="15" customHeight="1">
      <c r="A3" s="47">
        <v>44562</v>
      </c>
      <c r="B3" s="24">
        <v>4082</v>
      </c>
      <c r="C3" s="37">
        <v>1.23</v>
      </c>
      <c r="H3" s="9"/>
      <c r="I3" s="11"/>
    </row>
    <row r="4" spans="1:9" ht="15" customHeight="1">
      <c r="A4" s="47">
        <v>44593</v>
      </c>
      <c r="B4" s="24">
        <v>4382</v>
      </c>
      <c r="C4" s="37">
        <v>1.24</v>
      </c>
      <c r="H4" s="9"/>
      <c r="I4" s="11"/>
    </row>
    <row r="5" spans="1:9" ht="15" customHeight="1">
      <c r="A5" s="47">
        <v>44621</v>
      </c>
      <c r="B5" s="24">
        <v>9254</v>
      </c>
      <c r="C5" s="37">
        <v>1.76</v>
      </c>
      <c r="H5" s="9"/>
      <c r="I5" s="11"/>
    </row>
    <row r="6" spans="1:9" ht="15" customHeight="1">
      <c r="A6" s="47">
        <v>44652</v>
      </c>
      <c r="B6" s="24">
        <v>7221</v>
      </c>
      <c r="C6" s="37">
        <v>1.3</v>
      </c>
      <c r="H6" s="9"/>
      <c r="I6" s="11"/>
    </row>
    <row r="7" spans="1:9" ht="15" customHeight="1">
      <c r="A7" s="47">
        <v>44682</v>
      </c>
      <c r="B7" s="24">
        <v>6391</v>
      </c>
      <c r="C7" s="37">
        <v>1.2</v>
      </c>
      <c r="H7" s="9"/>
      <c r="I7" s="11"/>
    </row>
    <row r="8" spans="1:9" ht="15" customHeight="1">
      <c r="A8" s="47">
        <v>44713</v>
      </c>
      <c r="B8" s="24">
        <v>6524</v>
      </c>
      <c r="C8" s="37">
        <v>1.1000000000000001</v>
      </c>
      <c r="H8" s="9"/>
      <c r="I8" s="11"/>
    </row>
    <row r="9" spans="1:9" ht="15" customHeight="1">
      <c r="A9" s="47">
        <v>44743</v>
      </c>
      <c r="B9" s="24">
        <v>6267</v>
      </c>
      <c r="C9" s="37">
        <v>1.1499999999999999</v>
      </c>
      <c r="H9" s="9"/>
      <c r="I9" s="11"/>
    </row>
    <row r="10" spans="1:9" ht="15" customHeight="1">
      <c r="A10" s="47">
        <v>44774</v>
      </c>
      <c r="B10" s="24">
        <v>5421</v>
      </c>
      <c r="C10" s="37">
        <v>1.1200000000000001</v>
      </c>
      <c r="H10" s="10"/>
      <c r="I10" s="11"/>
    </row>
    <row r="11" spans="1:9" ht="15" customHeight="1">
      <c r="A11" s="47">
        <v>44805</v>
      </c>
      <c r="B11" s="24">
        <v>4332</v>
      </c>
      <c r="C11" s="37">
        <v>0.93</v>
      </c>
      <c r="H11" s="9"/>
      <c r="I11" s="11"/>
    </row>
    <row r="12" spans="1:9" ht="15" customHeight="1">
      <c r="A12" s="47">
        <v>44835</v>
      </c>
      <c r="B12" s="24">
        <v>4039</v>
      </c>
      <c r="C12" s="37">
        <v>0.85</v>
      </c>
      <c r="H12" s="9"/>
      <c r="I12" s="11"/>
    </row>
    <row r="13" spans="1:9" ht="15" customHeight="1">
      <c r="A13" s="47">
        <v>44866</v>
      </c>
      <c r="B13" s="24">
        <v>4500</v>
      </c>
      <c r="C13" s="37">
        <v>0.78</v>
      </c>
      <c r="H13" s="9"/>
      <c r="I13" s="11"/>
    </row>
    <row r="14" spans="1:9" ht="15" customHeight="1">
      <c r="A14" s="47">
        <v>44896</v>
      </c>
      <c r="B14" s="24">
        <v>4357</v>
      </c>
      <c r="C14" s="37">
        <v>0.62</v>
      </c>
      <c r="H14" s="9"/>
      <c r="I14" s="11"/>
    </row>
    <row r="15" spans="1:9" ht="15" customHeight="1">
      <c r="A15" s="47">
        <v>44927</v>
      </c>
      <c r="B15" s="24">
        <v>5443</v>
      </c>
      <c r="C15" s="37">
        <v>0.68</v>
      </c>
      <c r="H15" s="9"/>
      <c r="I15" s="11"/>
    </row>
    <row r="16" spans="1:9" ht="15" customHeight="1">
      <c r="A16" s="47">
        <v>44958</v>
      </c>
      <c r="B16" s="24">
        <v>4927</v>
      </c>
      <c r="C16" s="37">
        <v>0.71</v>
      </c>
      <c r="H16" s="9"/>
      <c r="I16" s="11"/>
    </row>
    <row r="17" spans="1:9" ht="15" customHeight="1">
      <c r="A17" s="48">
        <v>44986</v>
      </c>
      <c r="B17" s="24">
        <v>5156</v>
      </c>
      <c r="C17" s="37">
        <v>0.84</v>
      </c>
      <c r="H17" s="9"/>
      <c r="I17" s="11"/>
    </row>
    <row r="18" spans="1:9" ht="15" customHeight="1">
      <c r="A18" s="48">
        <v>45017</v>
      </c>
      <c r="B18" s="24">
        <v>5376</v>
      </c>
      <c r="C18" s="37">
        <v>0.76</v>
      </c>
      <c r="H18" s="9"/>
      <c r="I18" s="11"/>
    </row>
    <row r="19" spans="1:9" ht="15" customHeight="1">
      <c r="A19" s="48">
        <v>45047</v>
      </c>
      <c r="B19" s="24">
        <v>5722</v>
      </c>
      <c r="C19" s="37">
        <v>0.76</v>
      </c>
      <c r="H19" s="9"/>
      <c r="I19" s="11"/>
    </row>
    <row r="20" spans="1:9" ht="15" customHeight="1">
      <c r="A20" s="48">
        <v>45078</v>
      </c>
      <c r="B20" s="24">
        <v>4538</v>
      </c>
      <c r="C20" s="37">
        <v>0.78</v>
      </c>
      <c r="H20" s="9"/>
      <c r="I20" s="11"/>
    </row>
    <row r="21" spans="1:9" ht="15" customHeight="1">
      <c r="A21" s="48">
        <v>45108</v>
      </c>
      <c r="B21" s="24">
        <v>4342</v>
      </c>
      <c r="C21" s="37">
        <v>0.91</v>
      </c>
      <c r="H21" s="9"/>
      <c r="I21" s="11"/>
    </row>
    <row r="22" spans="1:9" ht="15" customHeight="1">
      <c r="A22" s="48">
        <v>45139</v>
      </c>
      <c r="B22" s="24">
        <v>3898</v>
      </c>
      <c r="C22" s="37">
        <v>0.95</v>
      </c>
      <c r="H22" s="9"/>
      <c r="I22" s="11"/>
    </row>
    <row r="23" spans="1:9" ht="15.75" customHeight="1">
      <c r="A23" s="48">
        <v>45170</v>
      </c>
      <c r="B23" s="24">
        <v>3824</v>
      </c>
      <c r="C23" s="37">
        <v>0.97</v>
      </c>
      <c r="H23" s="10"/>
      <c r="I23" s="11"/>
    </row>
    <row r="24" spans="1:9" ht="15.75" customHeight="1">
      <c r="A24" s="48">
        <v>45200</v>
      </c>
      <c r="B24" s="24">
        <v>4139</v>
      </c>
      <c r="C24" s="37">
        <v>1.1399999999999999</v>
      </c>
    </row>
    <row r="25" spans="1:9" ht="15.75" customHeight="1">
      <c r="A25" s="49">
        <v>45231</v>
      </c>
      <c r="B25" s="27">
        <v>5048</v>
      </c>
      <c r="C25" s="37">
        <v>0.98</v>
      </c>
    </row>
    <row r="26" spans="1:9" ht="15.75" customHeight="1"/>
    <row r="27" spans="1:9" ht="15.75" customHeight="1">
      <c r="B27" s="15"/>
      <c r="C27" s="11"/>
    </row>
    <row r="28" spans="1:9" ht="15.75" customHeight="1">
      <c r="A28" s="8"/>
      <c r="B28" s="15"/>
      <c r="C28" s="11"/>
    </row>
    <row r="29" spans="1:9" ht="15.75" customHeight="1"/>
    <row r="30" spans="1:9" ht="15.75" customHeight="1"/>
    <row r="31" spans="1:9" ht="15.75" customHeight="1"/>
    <row r="32" spans="1:9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</sheetData>
  <pageMargins left="0.7" right="0.7" top="0.75" bottom="0.75" header="0" footer="0"/>
  <pageSetup paperSize="9" firstPageNumber="4294967295"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0"/>
  <sheetViews>
    <sheetView topLeftCell="A16" workbookViewId="0">
      <selection activeCell="D38" sqref="D38"/>
    </sheetView>
  </sheetViews>
  <sheetFormatPr defaultRowHeight="15"/>
  <cols>
    <col min="1" max="1" width="20.7109375" customWidth="1"/>
    <col min="2" max="2" width="21.28515625" customWidth="1"/>
    <col min="3" max="3" width="29.28515625" customWidth="1"/>
    <col min="4" max="4" width="27.85546875" customWidth="1"/>
  </cols>
  <sheetData>
    <row r="1" spans="1:4">
      <c r="A1" s="22" t="s">
        <v>22</v>
      </c>
      <c r="B1" s="22" t="s">
        <v>18</v>
      </c>
      <c r="C1" s="22" t="s">
        <v>19</v>
      </c>
      <c r="D1" s="22" t="s">
        <v>23</v>
      </c>
    </row>
    <row r="2" spans="1:4">
      <c r="A2" s="47">
        <v>44531</v>
      </c>
      <c r="B2" s="23">
        <v>58181</v>
      </c>
    </row>
    <row r="3" spans="1:4">
      <c r="A3" s="47">
        <v>44562</v>
      </c>
      <c r="B3" s="23">
        <v>57391</v>
      </c>
    </row>
    <row r="4" spans="1:4">
      <c r="A4" s="47">
        <v>44593</v>
      </c>
      <c r="B4" s="23">
        <v>57677</v>
      </c>
    </row>
    <row r="5" spans="1:4">
      <c r="A5" s="47">
        <v>44621</v>
      </c>
      <c r="B5" s="23">
        <v>81860</v>
      </c>
    </row>
    <row r="6" spans="1:4">
      <c r="A6" s="47">
        <v>44652</v>
      </c>
      <c r="B6" s="23">
        <v>60522</v>
      </c>
    </row>
    <row r="7" spans="1:4">
      <c r="A7" s="47">
        <v>44682</v>
      </c>
      <c r="B7" s="23">
        <v>55793</v>
      </c>
    </row>
    <row r="8" spans="1:4">
      <c r="A8" s="47">
        <v>44713</v>
      </c>
      <c r="B8" s="23">
        <v>51222</v>
      </c>
    </row>
    <row r="9" spans="1:4">
      <c r="A9" s="47">
        <v>44743</v>
      </c>
      <c r="B9" s="23">
        <v>53576</v>
      </c>
    </row>
    <row r="10" spans="1:4">
      <c r="A10" s="47">
        <v>44774</v>
      </c>
      <c r="B10" s="23">
        <v>52034</v>
      </c>
    </row>
    <row r="11" spans="1:4">
      <c r="A11" s="47">
        <v>44805</v>
      </c>
      <c r="B11" s="23">
        <v>43329</v>
      </c>
    </row>
    <row r="12" spans="1:4">
      <c r="A12" s="47">
        <v>44835</v>
      </c>
      <c r="B12" s="23">
        <v>39845</v>
      </c>
    </row>
    <row r="13" spans="1:4">
      <c r="A13" s="47">
        <v>44866</v>
      </c>
      <c r="B13" s="23">
        <v>36226</v>
      </c>
    </row>
    <row r="14" spans="1:4">
      <c r="A14" s="47">
        <v>44896</v>
      </c>
      <c r="B14" s="23">
        <v>28792</v>
      </c>
    </row>
    <row r="15" spans="1:4">
      <c r="A15" s="47">
        <v>44927</v>
      </c>
      <c r="B15" s="23">
        <v>31918</v>
      </c>
    </row>
    <row r="16" spans="1:4">
      <c r="A16" s="47">
        <v>44958</v>
      </c>
      <c r="B16" s="23">
        <v>33280</v>
      </c>
    </row>
    <row r="17" spans="1:4">
      <c r="A17" s="48">
        <v>44986</v>
      </c>
      <c r="B17" s="23">
        <v>39078</v>
      </c>
    </row>
    <row r="18" spans="1:4">
      <c r="A18" s="48">
        <v>45017</v>
      </c>
      <c r="B18" s="23">
        <v>35502</v>
      </c>
    </row>
    <row r="19" spans="1:4">
      <c r="A19" s="48">
        <v>45047</v>
      </c>
      <c r="B19" s="23">
        <v>35435</v>
      </c>
    </row>
    <row r="20" spans="1:4">
      <c r="A20" s="48">
        <v>45078</v>
      </c>
      <c r="B20" s="23">
        <v>36391</v>
      </c>
    </row>
    <row r="21" spans="1:4">
      <c r="A21" s="48">
        <v>45108</v>
      </c>
      <c r="B21" s="23">
        <v>42245</v>
      </c>
    </row>
    <row r="22" spans="1:4">
      <c r="A22" s="48">
        <v>45139</v>
      </c>
      <c r="B22" s="23">
        <v>44254</v>
      </c>
    </row>
    <row r="23" spans="1:4">
      <c r="A23" s="48">
        <v>45170</v>
      </c>
      <c r="B23" s="23">
        <v>45432</v>
      </c>
    </row>
    <row r="24" spans="1:4">
      <c r="A24" s="48">
        <v>45200</v>
      </c>
      <c r="B24" s="23">
        <v>53102</v>
      </c>
    </row>
    <row r="25" spans="1:4">
      <c r="A25" s="49">
        <v>45231</v>
      </c>
      <c r="B25" s="38">
        <v>45769</v>
      </c>
      <c r="C25" s="18"/>
    </row>
    <row r="26" spans="1:4">
      <c r="A26" s="36">
        <v>45261</v>
      </c>
      <c r="B26" s="62">
        <f>FORECAST(LN(A26),$B$2:$B$25,LN($A$2:$A$25))</f>
        <v>34200.951824441552</v>
      </c>
      <c r="C26" s="63">
        <v>0.62</v>
      </c>
      <c r="D26" s="62">
        <f t="shared" ref="D26:D37" si="0">B26*C26</f>
        <v>21204.590131153764</v>
      </c>
    </row>
    <row r="27" spans="1:4">
      <c r="A27" s="36">
        <v>45292</v>
      </c>
      <c r="B27" s="62">
        <f t="shared" ref="B27:B37" si="1">FORECAST(LN(A27),$B$2:$B$25,LN($A$2:$A$25))</f>
        <v>33194.931773317978</v>
      </c>
      <c r="C27" s="63">
        <v>0.68</v>
      </c>
      <c r="D27" s="62">
        <f t="shared" si="0"/>
        <v>22572.553605856225</v>
      </c>
    </row>
    <row r="28" spans="1:4">
      <c r="A28" s="36">
        <v>45323</v>
      </c>
      <c r="B28" s="62">
        <f t="shared" si="1"/>
        <v>32189.600054681301</v>
      </c>
      <c r="C28" s="63">
        <v>0.71</v>
      </c>
      <c r="D28" s="62">
        <f t="shared" si="0"/>
        <v>22854.616038823722</v>
      </c>
    </row>
    <row r="29" spans="1:4">
      <c r="A29" s="36">
        <v>45352</v>
      </c>
      <c r="B29" s="62">
        <f t="shared" si="1"/>
        <v>31249.750765260309</v>
      </c>
      <c r="C29" s="63">
        <v>0.84</v>
      </c>
      <c r="D29" s="62">
        <f t="shared" si="0"/>
        <v>26249.790642818658</v>
      </c>
    </row>
    <row r="30" spans="1:4">
      <c r="A30" s="36">
        <v>45383</v>
      </c>
      <c r="B30" s="62">
        <f t="shared" si="1"/>
        <v>30245.748630747199</v>
      </c>
      <c r="C30" s="63">
        <v>0.76</v>
      </c>
      <c r="D30" s="62">
        <f t="shared" si="0"/>
        <v>22986.768959367873</v>
      </c>
    </row>
    <row r="31" spans="1:4">
      <c r="A31" s="36">
        <v>45413</v>
      </c>
      <c r="B31" s="62">
        <f t="shared" si="1"/>
        <v>29274.786429991946</v>
      </c>
      <c r="C31" s="63">
        <v>0.76</v>
      </c>
      <c r="D31" s="62">
        <f t="shared" si="0"/>
        <v>22248.837686793879</v>
      </c>
    </row>
    <row r="32" spans="1:4">
      <c r="A32" s="36">
        <v>45444</v>
      </c>
      <c r="B32" s="62">
        <f t="shared" si="1"/>
        <v>28272.132438933477</v>
      </c>
      <c r="C32" s="63">
        <v>0.78</v>
      </c>
      <c r="D32" s="62">
        <f t="shared" si="0"/>
        <v>22052.263302368112</v>
      </c>
    </row>
    <row r="33" spans="1:4">
      <c r="A33" s="36">
        <v>45474</v>
      </c>
      <c r="B33" s="62">
        <f t="shared" si="1"/>
        <v>27302.473141863942</v>
      </c>
      <c r="C33" s="63">
        <v>0.91</v>
      </c>
      <c r="D33" s="62">
        <f t="shared" si="0"/>
        <v>24845.250559096188</v>
      </c>
    </row>
    <row r="34" spans="1:4">
      <c r="A34" s="36">
        <v>45505</v>
      </c>
      <c r="B34" s="62">
        <f t="shared" si="1"/>
        <v>26301.163678623736</v>
      </c>
      <c r="C34" s="63">
        <v>0.95</v>
      </c>
      <c r="D34" s="62">
        <f t="shared" si="0"/>
        <v>24986.105494692547</v>
      </c>
    </row>
    <row r="35" spans="1:4">
      <c r="A35" s="36">
        <v>45536</v>
      </c>
      <c r="B35" s="62">
        <f t="shared" si="1"/>
        <v>25300.536119049415</v>
      </c>
      <c r="C35" s="63">
        <v>0.97</v>
      </c>
      <c r="D35" s="62">
        <f t="shared" si="0"/>
        <v>24541.520035477934</v>
      </c>
    </row>
    <row r="36" spans="1:4">
      <c r="A36" s="36">
        <v>45566</v>
      </c>
      <c r="B36" s="62">
        <f t="shared" si="1"/>
        <v>24332.835256738588</v>
      </c>
      <c r="C36" s="63">
        <v>1.1399999999999999</v>
      </c>
      <c r="D36" s="62">
        <f t="shared" si="0"/>
        <v>27739.432192681987</v>
      </c>
    </row>
    <row r="37" spans="1:4">
      <c r="A37" s="39">
        <v>45597</v>
      </c>
      <c r="B37" s="62">
        <f t="shared" si="1"/>
        <v>23333.546799341217</v>
      </c>
      <c r="C37" s="63">
        <v>0.98</v>
      </c>
      <c r="D37" s="62">
        <f t="shared" si="0"/>
        <v>22866.875863354391</v>
      </c>
    </row>
    <row r="38" spans="1:4">
      <c r="B38" s="17"/>
      <c r="C38" s="64" t="s">
        <v>20</v>
      </c>
      <c r="D38" s="61">
        <f>AVERAGE(D26:D37)</f>
        <v>23762.383709373778</v>
      </c>
    </row>
    <row r="40" spans="1:4">
      <c r="A40" s="19"/>
    </row>
  </sheetData>
  <pageMargins left="0.7" right="0.7" top="0.75" bottom="0.75" header="0.3" footer="0.3"/>
  <pageSetup paperSize="9" firstPageNumber="4294967295" orientation="portrait" horizontalDpi="0" verticalDpi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1"/>
  <sheetViews>
    <sheetView workbookViewId="0">
      <selection activeCell="K5" sqref="K5"/>
    </sheetView>
  </sheetViews>
  <sheetFormatPr defaultRowHeight="15"/>
  <cols>
    <col min="1" max="1" width="55" bestFit="1" customWidth="1"/>
    <col min="2" max="2" width="18.140625" bestFit="1" customWidth="1"/>
    <col min="3" max="3" width="23.140625" customWidth="1"/>
    <col min="4" max="4" width="20.7109375" customWidth="1"/>
    <col min="5" max="5" width="29.42578125" customWidth="1"/>
    <col min="7" max="7" width="20.5703125" customWidth="1"/>
    <col min="11" max="11" width="14.5703125" customWidth="1"/>
  </cols>
  <sheetData>
    <row r="1" spans="1:11" ht="30">
      <c r="A1" s="20" t="s">
        <v>24</v>
      </c>
      <c r="B1" s="20" t="s">
        <v>25</v>
      </c>
      <c r="C1" s="20" t="s">
        <v>172</v>
      </c>
      <c r="D1" s="20" t="s">
        <v>26</v>
      </c>
      <c r="E1" s="21" t="s">
        <v>27</v>
      </c>
      <c r="H1" s="22" t="s">
        <v>28</v>
      </c>
      <c r="I1" s="22" t="s">
        <v>29</v>
      </c>
      <c r="K1" s="22" t="s">
        <v>30</v>
      </c>
    </row>
    <row r="2" spans="1:11">
      <c r="A2" s="23" t="s">
        <v>43</v>
      </c>
      <c r="B2" s="24">
        <v>36</v>
      </c>
      <c r="C2" s="25">
        <v>81882</v>
      </c>
      <c r="D2" s="26">
        <v>0</v>
      </c>
      <c r="E2" s="27">
        <f t="shared" ref="E2:E65" si="0">C2-D2</f>
        <v>81882</v>
      </c>
      <c r="H2" s="24">
        <v>1</v>
      </c>
      <c r="I2" s="28">
        <v>0.21</v>
      </c>
      <c r="K2" s="29">
        <f>36/129</f>
        <v>0.27906976744186046</v>
      </c>
    </row>
    <row r="3" spans="1:11">
      <c r="A3" s="23" t="s">
        <v>44</v>
      </c>
      <c r="B3" s="24">
        <v>25</v>
      </c>
      <c r="C3" s="25">
        <v>10374</v>
      </c>
      <c r="D3" s="26">
        <v>0</v>
      </c>
      <c r="E3" s="27">
        <f t="shared" si="0"/>
        <v>10374</v>
      </c>
      <c r="H3" s="24">
        <v>2</v>
      </c>
      <c r="I3" s="28">
        <v>0.1</v>
      </c>
    </row>
    <row r="4" spans="1:11">
      <c r="A4" s="23" t="s">
        <v>45</v>
      </c>
      <c r="B4" s="24">
        <v>34</v>
      </c>
      <c r="C4" s="25">
        <v>3037</v>
      </c>
      <c r="D4" s="26">
        <v>0</v>
      </c>
      <c r="E4" s="27">
        <f t="shared" si="0"/>
        <v>3037</v>
      </c>
      <c r="H4" s="24">
        <v>3</v>
      </c>
      <c r="I4" s="30">
        <v>7.4999999999999997E-2</v>
      </c>
      <c r="K4" s="22" t="s">
        <v>31</v>
      </c>
    </row>
    <row r="5" spans="1:11">
      <c r="A5" s="23" t="s">
        <v>46</v>
      </c>
      <c r="B5" s="24">
        <v>23</v>
      </c>
      <c r="C5" s="25">
        <v>1342</v>
      </c>
      <c r="D5" s="26">
        <v>0</v>
      </c>
      <c r="E5" s="27">
        <f t="shared" si="0"/>
        <v>1342</v>
      </c>
      <c r="H5" s="24">
        <v>4</v>
      </c>
      <c r="I5" s="30">
        <v>4.5999999999999999E-2</v>
      </c>
      <c r="K5" s="31">
        <f>'Прогноз спроса'!D38*0.04*2*0.28</f>
        <v>532.27739508997274</v>
      </c>
    </row>
    <row r="6" spans="1:11">
      <c r="A6" s="23" t="s">
        <v>47</v>
      </c>
      <c r="B6" s="24">
        <v>33</v>
      </c>
      <c r="C6" s="25">
        <v>302</v>
      </c>
      <c r="D6" s="26">
        <v>0</v>
      </c>
      <c r="E6" s="27">
        <f t="shared" si="0"/>
        <v>302</v>
      </c>
      <c r="H6" s="24">
        <v>5</v>
      </c>
      <c r="I6" s="30">
        <v>3.4000000000000002E-2</v>
      </c>
    </row>
    <row r="7" spans="1:11">
      <c r="A7" s="23" t="s">
        <v>48</v>
      </c>
      <c r="B7" s="24">
        <v>24</v>
      </c>
      <c r="C7" s="25">
        <v>579</v>
      </c>
      <c r="D7" s="26">
        <v>0</v>
      </c>
      <c r="E7" s="27">
        <f t="shared" si="0"/>
        <v>579</v>
      </c>
      <c r="H7" s="24">
        <v>6</v>
      </c>
      <c r="I7" s="30">
        <v>2.5000000000000001E-2</v>
      </c>
    </row>
    <row r="8" spans="1:11">
      <c r="A8" s="23" t="s">
        <v>49</v>
      </c>
      <c r="B8" s="24">
        <v>18</v>
      </c>
      <c r="C8" s="25">
        <v>308</v>
      </c>
      <c r="D8" s="26">
        <v>0</v>
      </c>
      <c r="E8" s="27">
        <f t="shared" si="0"/>
        <v>308</v>
      </c>
      <c r="H8" s="24">
        <v>7</v>
      </c>
      <c r="I8" s="30">
        <v>2.7E-2</v>
      </c>
    </row>
    <row r="9" spans="1:11">
      <c r="A9" s="23" t="s">
        <v>50</v>
      </c>
      <c r="B9" s="24">
        <v>21</v>
      </c>
      <c r="C9" s="25">
        <v>384</v>
      </c>
      <c r="D9" s="26">
        <v>0</v>
      </c>
      <c r="E9" s="27">
        <f t="shared" si="0"/>
        <v>384</v>
      </c>
      <c r="H9" s="24">
        <v>8</v>
      </c>
      <c r="I9" s="30">
        <v>1.7000000000000001E-2</v>
      </c>
    </row>
    <row r="10" spans="1:11">
      <c r="A10" s="23" t="s">
        <v>51</v>
      </c>
      <c r="B10" s="24">
        <v>28</v>
      </c>
      <c r="C10" s="25">
        <v>176</v>
      </c>
      <c r="D10" s="26">
        <v>0</v>
      </c>
      <c r="E10" s="27">
        <f t="shared" si="0"/>
        <v>176</v>
      </c>
      <c r="H10" s="24">
        <v>9</v>
      </c>
      <c r="I10" s="30">
        <v>1.7000000000000001E-2</v>
      </c>
    </row>
    <row r="11" spans="1:11">
      <c r="A11" s="23" t="s">
        <v>52</v>
      </c>
      <c r="B11" s="24">
        <v>15</v>
      </c>
      <c r="C11" s="25">
        <v>149</v>
      </c>
      <c r="D11" s="26">
        <v>0</v>
      </c>
      <c r="E11" s="27">
        <f t="shared" si="0"/>
        <v>149</v>
      </c>
      <c r="H11" s="24">
        <v>10</v>
      </c>
      <c r="I11" s="30">
        <v>1.6E-2</v>
      </c>
    </row>
    <row r="12" spans="1:11">
      <c r="A12" s="23" t="s">
        <v>53</v>
      </c>
      <c r="B12" s="24">
        <v>16</v>
      </c>
      <c r="C12" s="25">
        <v>60</v>
      </c>
      <c r="D12" s="26">
        <v>0</v>
      </c>
      <c r="E12" s="27">
        <f t="shared" si="0"/>
        <v>60</v>
      </c>
    </row>
    <row r="13" spans="1:11">
      <c r="A13" s="23" t="s">
        <v>54</v>
      </c>
      <c r="B13" s="24">
        <v>14</v>
      </c>
      <c r="C13" s="25">
        <v>5270</v>
      </c>
      <c r="D13" s="26">
        <v>0</v>
      </c>
      <c r="E13" s="27">
        <f t="shared" si="0"/>
        <v>5270</v>
      </c>
    </row>
    <row r="14" spans="1:11">
      <c r="A14" s="23" t="s">
        <v>55</v>
      </c>
      <c r="B14" s="24">
        <v>14</v>
      </c>
      <c r="C14" s="25">
        <v>4887</v>
      </c>
      <c r="D14" s="26">
        <v>0</v>
      </c>
      <c r="E14" s="27">
        <f t="shared" si="0"/>
        <v>4887</v>
      </c>
      <c r="I14" s="32"/>
    </row>
    <row r="15" spans="1:11">
      <c r="A15" s="23" t="s">
        <v>56</v>
      </c>
      <c r="B15" s="24">
        <v>17</v>
      </c>
      <c r="C15" s="25">
        <v>1324</v>
      </c>
      <c r="D15" s="26">
        <v>0</v>
      </c>
      <c r="E15" s="27">
        <f t="shared" si="0"/>
        <v>1324</v>
      </c>
    </row>
    <row r="16" spans="1:11">
      <c r="A16" s="23" t="s">
        <v>57</v>
      </c>
      <c r="B16" s="24">
        <v>15</v>
      </c>
      <c r="C16" s="25">
        <v>1245</v>
      </c>
      <c r="D16" s="26">
        <v>0</v>
      </c>
      <c r="E16" s="27">
        <f t="shared" si="0"/>
        <v>1245</v>
      </c>
    </row>
    <row r="17" spans="1:11" ht="15.75" customHeight="1">
      <c r="A17" s="23" t="s">
        <v>58</v>
      </c>
      <c r="B17" s="42">
        <v>10</v>
      </c>
      <c r="C17" s="25">
        <v>133</v>
      </c>
      <c r="D17" s="26">
        <f>C17*I11</f>
        <v>2.1280000000000001</v>
      </c>
      <c r="E17" s="27">
        <f t="shared" si="0"/>
        <v>130.87200000000001</v>
      </c>
      <c r="K17" s="15"/>
    </row>
    <row r="18" spans="1:11" ht="15.75" customHeight="1">
      <c r="A18" s="23" t="s">
        <v>59</v>
      </c>
      <c r="B18" s="24">
        <v>12</v>
      </c>
      <c r="C18" s="25">
        <v>241</v>
      </c>
      <c r="D18" s="26">
        <v>0</v>
      </c>
      <c r="E18" s="27">
        <f t="shared" si="0"/>
        <v>241</v>
      </c>
      <c r="K18" s="15"/>
    </row>
    <row r="19" spans="1:11" ht="15.75" customHeight="1">
      <c r="A19" s="23" t="s">
        <v>60</v>
      </c>
      <c r="B19" s="24">
        <v>12</v>
      </c>
      <c r="C19" s="25">
        <v>215</v>
      </c>
      <c r="D19" s="26">
        <v>0</v>
      </c>
      <c r="E19" s="27">
        <f t="shared" si="0"/>
        <v>215</v>
      </c>
      <c r="K19" s="15"/>
    </row>
    <row r="20" spans="1:11" ht="15.75" customHeight="1">
      <c r="A20" s="23" t="s">
        <v>61</v>
      </c>
      <c r="B20" s="24">
        <v>14</v>
      </c>
      <c r="C20" s="25">
        <v>37</v>
      </c>
      <c r="D20" s="26">
        <v>0</v>
      </c>
      <c r="E20" s="27">
        <f t="shared" si="0"/>
        <v>37</v>
      </c>
      <c r="K20" s="15"/>
    </row>
    <row r="21" spans="1:11" ht="15.75" customHeight="1">
      <c r="A21" s="23" t="s">
        <v>62</v>
      </c>
      <c r="B21" s="24">
        <v>19</v>
      </c>
      <c r="C21" s="25">
        <v>208</v>
      </c>
      <c r="D21" s="26">
        <v>0</v>
      </c>
      <c r="E21" s="27">
        <f t="shared" si="0"/>
        <v>208</v>
      </c>
      <c r="K21" s="15"/>
    </row>
    <row r="22" spans="1:11" ht="15.75" customHeight="1">
      <c r="A22" s="23" t="s">
        <v>63</v>
      </c>
      <c r="B22" s="42">
        <v>5</v>
      </c>
      <c r="C22" s="25">
        <v>1679</v>
      </c>
      <c r="D22" s="26">
        <f>C22*I6</f>
        <v>57.086000000000006</v>
      </c>
      <c r="E22" s="27">
        <f t="shared" si="0"/>
        <v>1621.914</v>
      </c>
      <c r="K22" s="15"/>
    </row>
    <row r="23" spans="1:11" ht="15.75" customHeight="1">
      <c r="A23" s="23" t="s">
        <v>64</v>
      </c>
      <c r="B23" s="42">
        <v>2</v>
      </c>
      <c r="C23" s="25">
        <v>339</v>
      </c>
      <c r="D23" s="26">
        <f>C23*I3</f>
        <v>33.9</v>
      </c>
      <c r="E23" s="27">
        <f t="shared" si="0"/>
        <v>305.10000000000002</v>
      </c>
      <c r="K23" s="15"/>
    </row>
    <row r="24" spans="1:11" ht="15.75" customHeight="1">
      <c r="A24" s="23" t="s">
        <v>65</v>
      </c>
      <c r="B24" s="42">
        <v>3</v>
      </c>
      <c r="C24" s="25">
        <v>93</v>
      </c>
      <c r="D24" s="26">
        <f>C24*I4</f>
        <v>6.9749999999999996</v>
      </c>
      <c r="E24" s="27">
        <f t="shared" si="0"/>
        <v>86.025000000000006</v>
      </c>
      <c r="K24" s="15"/>
    </row>
    <row r="25" spans="1:11" ht="15.75" customHeight="1">
      <c r="A25" s="23" t="s">
        <v>66</v>
      </c>
      <c r="B25" s="42">
        <v>4</v>
      </c>
      <c r="C25" s="25">
        <v>19</v>
      </c>
      <c r="D25" s="26">
        <f>C25*I5</f>
        <v>0.874</v>
      </c>
      <c r="E25" s="27">
        <f t="shared" si="0"/>
        <v>18.126000000000001</v>
      </c>
      <c r="K25" s="15"/>
    </row>
    <row r="26" spans="1:11" ht="15.75" customHeight="1">
      <c r="A26" s="23" t="s">
        <v>67</v>
      </c>
      <c r="B26" s="42">
        <v>2</v>
      </c>
      <c r="C26" s="25">
        <v>48</v>
      </c>
      <c r="D26" s="26">
        <f>C26*I3</f>
        <v>4.8000000000000007</v>
      </c>
      <c r="E26" s="27">
        <f t="shared" si="0"/>
        <v>43.2</v>
      </c>
      <c r="K26" s="15"/>
    </row>
    <row r="27" spans="1:11" ht="15.75" customHeight="1">
      <c r="A27" s="23" t="s">
        <v>68</v>
      </c>
      <c r="B27" s="42">
        <v>7</v>
      </c>
      <c r="C27" s="25">
        <v>45</v>
      </c>
      <c r="D27" s="26">
        <f>C27*I8</f>
        <v>1.2150000000000001</v>
      </c>
      <c r="E27" s="27">
        <f t="shared" si="0"/>
        <v>43.784999999999997</v>
      </c>
      <c r="K27" s="15"/>
    </row>
    <row r="28" spans="1:11" ht="15.75" customHeight="1">
      <c r="A28" s="23" t="s">
        <v>69</v>
      </c>
      <c r="B28" s="42">
        <v>3</v>
      </c>
      <c r="C28" s="25">
        <v>4418</v>
      </c>
      <c r="D28" s="26">
        <f>C28*I4</f>
        <v>331.34999999999997</v>
      </c>
      <c r="E28" s="27">
        <f t="shared" si="0"/>
        <v>4086.65</v>
      </c>
      <c r="K28" s="15"/>
    </row>
    <row r="29" spans="1:11" ht="15.75" customHeight="1">
      <c r="A29" s="23" t="s">
        <v>70</v>
      </c>
      <c r="B29" s="42">
        <v>6</v>
      </c>
      <c r="C29" s="25">
        <v>563</v>
      </c>
      <c r="D29" s="26">
        <f>C29*I7</f>
        <v>14.075000000000001</v>
      </c>
      <c r="E29" s="27">
        <f t="shared" si="0"/>
        <v>548.92499999999995</v>
      </c>
      <c r="K29" s="15"/>
    </row>
    <row r="30" spans="1:11" ht="15.75" customHeight="1">
      <c r="A30" s="23" t="s">
        <v>71</v>
      </c>
      <c r="B30" s="42">
        <v>2</v>
      </c>
      <c r="C30" s="25">
        <v>270</v>
      </c>
      <c r="D30" s="26">
        <f>C30*I3</f>
        <v>27</v>
      </c>
      <c r="E30" s="27">
        <f t="shared" si="0"/>
        <v>243</v>
      </c>
      <c r="K30" s="15"/>
    </row>
    <row r="31" spans="1:11" ht="15.75" customHeight="1">
      <c r="A31" s="23" t="s">
        <v>72</v>
      </c>
      <c r="B31" s="24">
        <v>13</v>
      </c>
      <c r="C31" s="25">
        <v>52</v>
      </c>
      <c r="D31" s="26">
        <v>0</v>
      </c>
      <c r="E31" s="27">
        <f t="shared" si="0"/>
        <v>52</v>
      </c>
      <c r="K31" s="15"/>
    </row>
    <row r="32" spans="1:11" ht="15.75" customHeight="1">
      <c r="A32" s="23" t="s">
        <v>73</v>
      </c>
      <c r="B32" s="42">
        <v>2</v>
      </c>
      <c r="C32" s="25">
        <v>73</v>
      </c>
      <c r="D32" s="26">
        <f>C32*I3</f>
        <v>7.3000000000000007</v>
      </c>
      <c r="E32" s="27">
        <f t="shared" si="0"/>
        <v>65.7</v>
      </c>
      <c r="K32" s="15"/>
    </row>
    <row r="33" spans="1:11" ht="15.75" customHeight="1">
      <c r="A33" s="23" t="s">
        <v>74</v>
      </c>
      <c r="B33" s="42">
        <v>5</v>
      </c>
      <c r="C33" s="25">
        <v>67</v>
      </c>
      <c r="D33" s="26">
        <f>C33*I6</f>
        <v>2.278</v>
      </c>
      <c r="E33" s="27">
        <f t="shared" si="0"/>
        <v>64.721999999999994</v>
      </c>
      <c r="K33" s="15"/>
    </row>
    <row r="34" spans="1:11" ht="15.75" customHeight="1">
      <c r="A34" s="23" t="s">
        <v>75</v>
      </c>
      <c r="B34" s="42">
        <v>4</v>
      </c>
      <c r="C34" s="25">
        <v>30</v>
      </c>
      <c r="D34" s="26">
        <f>C34*I5</f>
        <v>1.38</v>
      </c>
      <c r="E34" s="27">
        <f t="shared" si="0"/>
        <v>28.62</v>
      </c>
      <c r="K34" s="15"/>
    </row>
    <row r="35" spans="1:11" ht="15.75" customHeight="1">
      <c r="A35" s="23" t="s">
        <v>76</v>
      </c>
      <c r="B35" s="42">
        <v>9</v>
      </c>
      <c r="C35" s="25">
        <v>53</v>
      </c>
      <c r="D35" s="26">
        <f>C35*I10</f>
        <v>0.90100000000000002</v>
      </c>
      <c r="E35" s="27">
        <f t="shared" si="0"/>
        <v>52.098999999999997</v>
      </c>
      <c r="K35" s="15"/>
    </row>
    <row r="36" spans="1:11" ht="15.75" customHeight="1">
      <c r="A36" s="23" t="s">
        <v>77</v>
      </c>
      <c r="B36" s="42">
        <v>6</v>
      </c>
      <c r="C36" s="25">
        <v>20</v>
      </c>
      <c r="D36" s="26">
        <f>C36*I7</f>
        <v>0.5</v>
      </c>
      <c r="E36" s="27">
        <f t="shared" si="0"/>
        <v>19.5</v>
      </c>
      <c r="K36" s="15"/>
    </row>
    <row r="37" spans="1:11" ht="15.75" customHeight="1">
      <c r="A37" s="23" t="s">
        <v>78</v>
      </c>
      <c r="B37" s="24">
        <v>39</v>
      </c>
      <c r="C37" s="25">
        <v>34884</v>
      </c>
      <c r="D37" s="26">
        <v>0</v>
      </c>
      <c r="E37" s="27">
        <f t="shared" si="0"/>
        <v>34884</v>
      </c>
      <c r="K37" s="15"/>
    </row>
    <row r="38" spans="1:11" ht="15.75" customHeight="1">
      <c r="A38" s="23" t="s">
        <v>79</v>
      </c>
      <c r="B38" s="24">
        <v>61</v>
      </c>
      <c r="C38" s="25">
        <v>25998</v>
      </c>
      <c r="D38" s="26">
        <v>0</v>
      </c>
      <c r="E38" s="27">
        <f t="shared" si="0"/>
        <v>25998</v>
      </c>
      <c r="K38" s="15"/>
    </row>
    <row r="39" spans="1:11" ht="15.75" customHeight="1">
      <c r="A39" s="23" t="s">
        <v>80</v>
      </c>
      <c r="B39" s="24">
        <v>16</v>
      </c>
      <c r="C39" s="25">
        <v>12377</v>
      </c>
      <c r="D39" s="26">
        <v>0</v>
      </c>
      <c r="E39" s="27">
        <f t="shared" si="0"/>
        <v>12377</v>
      </c>
      <c r="K39" s="15"/>
    </row>
    <row r="40" spans="1:11" ht="15.75" customHeight="1">
      <c r="A40" s="23" t="s">
        <v>81</v>
      </c>
      <c r="B40" s="24">
        <v>24</v>
      </c>
      <c r="C40" s="25">
        <v>7864</v>
      </c>
      <c r="D40" s="26">
        <v>0</v>
      </c>
      <c r="E40" s="27">
        <f t="shared" si="0"/>
        <v>7864</v>
      </c>
      <c r="K40" s="15"/>
    </row>
    <row r="41" spans="1:11" ht="15.75" customHeight="1">
      <c r="A41" s="23" t="s">
        <v>82</v>
      </c>
      <c r="B41" s="24">
        <v>42</v>
      </c>
      <c r="C41" s="25">
        <v>5657</v>
      </c>
      <c r="D41" s="26">
        <v>0</v>
      </c>
      <c r="E41" s="27">
        <f t="shared" si="0"/>
        <v>5657</v>
      </c>
      <c r="K41" s="15"/>
    </row>
    <row r="42" spans="1:11" ht="15.75" customHeight="1">
      <c r="A42" s="23" t="s">
        <v>83</v>
      </c>
      <c r="B42" s="24">
        <v>28</v>
      </c>
      <c r="C42" s="25">
        <v>5299</v>
      </c>
      <c r="D42" s="26">
        <v>0</v>
      </c>
      <c r="E42" s="27">
        <f t="shared" si="0"/>
        <v>5299</v>
      </c>
      <c r="K42" s="15"/>
    </row>
    <row r="43" spans="1:11" ht="15.75" customHeight="1">
      <c r="A43" s="23" t="s">
        <v>84</v>
      </c>
      <c r="B43" s="24">
        <v>37</v>
      </c>
      <c r="C43" s="25">
        <v>4945</v>
      </c>
      <c r="D43" s="26">
        <v>0</v>
      </c>
      <c r="E43" s="27">
        <f t="shared" si="0"/>
        <v>4945</v>
      </c>
      <c r="K43" s="15"/>
    </row>
    <row r="44" spans="1:11" ht="15.75" customHeight="1">
      <c r="A44" s="23" t="s">
        <v>85</v>
      </c>
      <c r="B44" s="42">
        <v>6</v>
      </c>
      <c r="C44" s="25">
        <v>3190</v>
      </c>
      <c r="D44" s="26">
        <f>C44*I7</f>
        <v>79.75</v>
      </c>
      <c r="E44" s="27">
        <f t="shared" si="0"/>
        <v>3110.25</v>
      </c>
      <c r="K44" s="15"/>
    </row>
    <row r="45" spans="1:11" ht="15.75" customHeight="1">
      <c r="A45" s="23" t="s">
        <v>86</v>
      </c>
      <c r="B45" s="24">
        <v>14</v>
      </c>
      <c r="C45" s="25">
        <v>1632</v>
      </c>
      <c r="D45" s="26">
        <v>0</v>
      </c>
      <c r="E45" s="27">
        <f t="shared" si="0"/>
        <v>1632</v>
      </c>
      <c r="K45" s="15"/>
    </row>
    <row r="46" spans="1:11" ht="15.75" customHeight="1">
      <c r="A46" s="23" t="s">
        <v>87</v>
      </c>
      <c r="B46" s="24">
        <v>15</v>
      </c>
      <c r="C46" s="25">
        <v>1118</v>
      </c>
      <c r="D46" s="26">
        <v>0</v>
      </c>
      <c r="E46" s="27">
        <f t="shared" si="0"/>
        <v>1118</v>
      </c>
      <c r="K46" s="15"/>
    </row>
    <row r="47" spans="1:11" ht="15.75" customHeight="1">
      <c r="A47" s="23" t="s">
        <v>88</v>
      </c>
      <c r="B47" s="24">
        <v>12</v>
      </c>
      <c r="C47" s="25">
        <v>1523</v>
      </c>
      <c r="D47" s="26">
        <v>0</v>
      </c>
      <c r="E47" s="27">
        <f t="shared" si="0"/>
        <v>1523</v>
      </c>
      <c r="K47" s="15"/>
    </row>
    <row r="48" spans="1:11" ht="15.75" customHeight="1">
      <c r="A48" s="23" t="s">
        <v>89</v>
      </c>
      <c r="B48" s="24">
        <v>17</v>
      </c>
      <c r="C48" s="25">
        <v>923</v>
      </c>
      <c r="D48" s="26">
        <v>0</v>
      </c>
      <c r="E48" s="27">
        <f t="shared" si="0"/>
        <v>923</v>
      </c>
      <c r="K48" s="15"/>
    </row>
    <row r="49" spans="1:11" ht="15.75" customHeight="1">
      <c r="A49" s="23" t="s">
        <v>90</v>
      </c>
      <c r="B49" s="24">
        <v>37</v>
      </c>
      <c r="C49" s="25">
        <v>1287</v>
      </c>
      <c r="D49" s="26">
        <v>0</v>
      </c>
      <c r="E49" s="27">
        <f t="shared" si="0"/>
        <v>1287</v>
      </c>
      <c r="K49" s="15"/>
    </row>
    <row r="50" spans="1:11" ht="15.75" customHeight="1">
      <c r="A50" s="23" t="s">
        <v>91</v>
      </c>
      <c r="B50" s="24">
        <v>45</v>
      </c>
      <c r="C50" s="25">
        <v>1016</v>
      </c>
      <c r="D50" s="26">
        <v>0</v>
      </c>
      <c r="E50" s="27">
        <f t="shared" si="0"/>
        <v>1016</v>
      </c>
      <c r="K50" s="15"/>
    </row>
    <row r="51" spans="1:11" ht="15.75" customHeight="1">
      <c r="A51" s="23" t="s">
        <v>92</v>
      </c>
      <c r="B51" s="24">
        <v>37</v>
      </c>
      <c r="C51" s="25">
        <v>452</v>
      </c>
      <c r="D51" s="26">
        <v>0</v>
      </c>
      <c r="E51" s="27">
        <f t="shared" si="0"/>
        <v>452</v>
      </c>
      <c r="K51" s="15"/>
    </row>
    <row r="52" spans="1:11" ht="15.75" customHeight="1">
      <c r="A52" s="23" t="s">
        <v>93</v>
      </c>
      <c r="B52" s="24">
        <v>20</v>
      </c>
      <c r="C52" s="25">
        <v>677</v>
      </c>
      <c r="D52" s="26">
        <v>0</v>
      </c>
      <c r="E52" s="27">
        <f t="shared" si="0"/>
        <v>677</v>
      </c>
      <c r="K52" s="15"/>
    </row>
    <row r="53" spans="1:11" ht="15.75" customHeight="1">
      <c r="A53" s="23" t="s">
        <v>94</v>
      </c>
      <c r="B53" s="24">
        <v>40</v>
      </c>
      <c r="C53" s="25">
        <v>206</v>
      </c>
      <c r="D53" s="26">
        <v>0</v>
      </c>
      <c r="E53" s="27">
        <f t="shared" si="0"/>
        <v>206</v>
      </c>
      <c r="K53" s="15"/>
    </row>
    <row r="54" spans="1:11" ht="15.75" customHeight="1">
      <c r="A54" s="23" t="s">
        <v>95</v>
      </c>
      <c r="B54" s="24">
        <v>26</v>
      </c>
      <c r="C54" s="25">
        <v>387</v>
      </c>
      <c r="D54" s="26">
        <v>0</v>
      </c>
      <c r="E54" s="27">
        <f t="shared" si="0"/>
        <v>387</v>
      </c>
      <c r="K54" s="15"/>
    </row>
    <row r="55" spans="1:11" ht="15.75" customHeight="1">
      <c r="A55" s="23" t="s">
        <v>96</v>
      </c>
      <c r="B55" s="24">
        <v>24</v>
      </c>
      <c r="C55" s="25">
        <v>336</v>
      </c>
      <c r="D55" s="26">
        <v>0</v>
      </c>
      <c r="E55" s="27">
        <f t="shared" si="0"/>
        <v>336</v>
      </c>
      <c r="K55" s="15"/>
    </row>
    <row r="56" spans="1:11" ht="15.75" customHeight="1">
      <c r="A56" s="23" t="s">
        <v>97</v>
      </c>
      <c r="B56" s="24">
        <v>21</v>
      </c>
      <c r="C56" s="25">
        <v>266</v>
      </c>
      <c r="D56" s="26">
        <v>0</v>
      </c>
      <c r="E56" s="27">
        <f t="shared" si="0"/>
        <v>266</v>
      </c>
      <c r="K56" s="15"/>
    </row>
    <row r="57" spans="1:11" ht="15.75" customHeight="1">
      <c r="A57" s="23" t="s">
        <v>98</v>
      </c>
      <c r="B57" s="24">
        <v>23</v>
      </c>
      <c r="C57" s="25">
        <v>463</v>
      </c>
      <c r="D57" s="26">
        <v>0</v>
      </c>
      <c r="E57" s="27">
        <f t="shared" si="0"/>
        <v>463</v>
      </c>
      <c r="K57" s="15"/>
    </row>
    <row r="58" spans="1:11" ht="15.75" customHeight="1">
      <c r="A58" s="23" t="s">
        <v>99</v>
      </c>
      <c r="B58" s="24">
        <v>13</v>
      </c>
      <c r="C58" s="25">
        <v>186</v>
      </c>
      <c r="D58" s="26">
        <v>0</v>
      </c>
      <c r="E58" s="27">
        <f t="shared" si="0"/>
        <v>186</v>
      </c>
      <c r="K58" s="15"/>
    </row>
    <row r="59" spans="1:11" ht="15.75" customHeight="1">
      <c r="A59" s="23" t="s">
        <v>100</v>
      </c>
      <c r="B59" s="42">
        <v>2</v>
      </c>
      <c r="C59" s="25">
        <v>89</v>
      </c>
      <c r="D59" s="26">
        <f>C59*I3</f>
        <v>8.9</v>
      </c>
      <c r="E59" s="27">
        <f t="shared" si="0"/>
        <v>80.099999999999994</v>
      </c>
      <c r="K59" s="15"/>
    </row>
    <row r="60" spans="1:11" ht="15.75" customHeight="1">
      <c r="A60" s="23" t="s">
        <v>101</v>
      </c>
      <c r="B60" s="24">
        <v>27</v>
      </c>
      <c r="C60" s="25">
        <v>57</v>
      </c>
      <c r="D60" s="26">
        <v>0</v>
      </c>
      <c r="E60" s="27">
        <f t="shared" si="0"/>
        <v>57</v>
      </c>
      <c r="K60" s="15"/>
    </row>
    <row r="61" spans="1:11" ht="15.75" customHeight="1">
      <c r="A61" s="23" t="s">
        <v>102</v>
      </c>
      <c r="B61" s="24">
        <v>36</v>
      </c>
      <c r="C61" s="25">
        <v>9702</v>
      </c>
      <c r="D61" s="26">
        <v>0</v>
      </c>
      <c r="E61" s="27">
        <f t="shared" si="0"/>
        <v>9702</v>
      </c>
      <c r="K61" s="15"/>
    </row>
    <row r="62" spans="1:11" ht="15.75" customHeight="1">
      <c r="A62" s="23" t="s">
        <v>103</v>
      </c>
      <c r="B62" s="24">
        <v>77</v>
      </c>
      <c r="C62" s="25">
        <v>1536</v>
      </c>
      <c r="D62" s="26">
        <v>0</v>
      </c>
      <c r="E62" s="27">
        <f t="shared" si="0"/>
        <v>1536</v>
      </c>
      <c r="K62" s="15"/>
    </row>
    <row r="63" spans="1:11" ht="15.75" customHeight="1">
      <c r="A63" s="23" t="s">
        <v>104</v>
      </c>
      <c r="B63" s="24">
        <v>46</v>
      </c>
      <c r="C63" s="25">
        <v>1523</v>
      </c>
      <c r="D63" s="26">
        <v>0</v>
      </c>
      <c r="E63" s="27">
        <f t="shared" si="0"/>
        <v>1523</v>
      </c>
      <c r="K63" s="15"/>
    </row>
    <row r="64" spans="1:11" ht="15.75" customHeight="1">
      <c r="A64" s="23" t="s">
        <v>105</v>
      </c>
      <c r="B64" s="24">
        <v>34</v>
      </c>
      <c r="C64" s="25">
        <v>269</v>
      </c>
      <c r="D64" s="26">
        <v>0</v>
      </c>
      <c r="E64" s="27">
        <f t="shared" si="0"/>
        <v>269</v>
      </c>
      <c r="K64" s="15"/>
    </row>
    <row r="65" spans="1:11" ht="15.75" customHeight="1">
      <c r="A65" s="23" t="s">
        <v>106</v>
      </c>
      <c r="B65" s="24">
        <v>30</v>
      </c>
      <c r="C65" s="25">
        <v>584</v>
      </c>
      <c r="D65" s="26">
        <v>0</v>
      </c>
      <c r="E65" s="27">
        <f t="shared" si="0"/>
        <v>584</v>
      </c>
      <c r="K65" s="15"/>
    </row>
    <row r="66" spans="1:11" ht="15.75" customHeight="1">
      <c r="A66" s="23" t="s">
        <v>107</v>
      </c>
      <c r="B66" s="24">
        <v>41</v>
      </c>
      <c r="C66" s="25">
        <v>207</v>
      </c>
      <c r="D66" s="26">
        <v>0</v>
      </c>
      <c r="E66" s="27">
        <f t="shared" ref="E66:E129" si="1">C66-D66</f>
        <v>207</v>
      </c>
      <c r="K66" s="15"/>
    </row>
    <row r="67" spans="1:11" ht="15.75" customHeight="1">
      <c r="A67" s="23" t="s">
        <v>108</v>
      </c>
      <c r="B67" s="24">
        <v>44</v>
      </c>
      <c r="C67" s="25">
        <v>33</v>
      </c>
      <c r="D67" s="26">
        <v>0</v>
      </c>
      <c r="E67" s="27">
        <f t="shared" si="1"/>
        <v>33</v>
      </c>
      <c r="K67" s="15"/>
    </row>
    <row r="68" spans="1:11" ht="15.75" customHeight="1">
      <c r="A68" s="23" t="s">
        <v>109</v>
      </c>
      <c r="B68" s="24">
        <v>35</v>
      </c>
      <c r="C68" s="25">
        <v>63</v>
      </c>
      <c r="D68" s="26">
        <v>0</v>
      </c>
      <c r="E68" s="27">
        <f t="shared" si="1"/>
        <v>63</v>
      </c>
      <c r="K68" s="15"/>
    </row>
    <row r="69" spans="1:11" ht="15.75" customHeight="1">
      <c r="A69" s="23" t="s">
        <v>110</v>
      </c>
      <c r="B69" s="24">
        <v>40</v>
      </c>
      <c r="C69" s="25">
        <v>47</v>
      </c>
      <c r="D69" s="26">
        <v>0</v>
      </c>
      <c r="E69" s="27">
        <f t="shared" si="1"/>
        <v>47</v>
      </c>
      <c r="K69" s="15"/>
    </row>
    <row r="70" spans="1:11" ht="15.75" customHeight="1">
      <c r="A70" s="23" t="s">
        <v>111</v>
      </c>
      <c r="B70" s="24">
        <v>13</v>
      </c>
      <c r="C70" s="25">
        <v>82</v>
      </c>
      <c r="D70" s="26">
        <v>0</v>
      </c>
      <c r="E70" s="27">
        <f t="shared" si="1"/>
        <v>82</v>
      </c>
      <c r="K70" s="15"/>
    </row>
    <row r="71" spans="1:11" ht="15.75" customHeight="1">
      <c r="A71" s="23" t="s">
        <v>112</v>
      </c>
      <c r="B71" s="24">
        <v>47</v>
      </c>
      <c r="C71" s="25">
        <v>22</v>
      </c>
      <c r="D71" s="26">
        <v>0</v>
      </c>
      <c r="E71" s="27">
        <f t="shared" si="1"/>
        <v>22</v>
      </c>
      <c r="K71" s="15"/>
    </row>
    <row r="72" spans="1:11" ht="15.75" customHeight="1">
      <c r="A72" s="23" t="s">
        <v>113</v>
      </c>
      <c r="B72" s="24">
        <v>33</v>
      </c>
      <c r="C72" s="25">
        <v>99</v>
      </c>
      <c r="D72" s="26">
        <v>0</v>
      </c>
      <c r="E72" s="27">
        <f t="shared" si="1"/>
        <v>99</v>
      </c>
      <c r="K72" s="15"/>
    </row>
    <row r="73" spans="1:11" ht="15.75" customHeight="1">
      <c r="A73" s="23" t="s">
        <v>114</v>
      </c>
      <c r="B73" s="42">
        <v>10</v>
      </c>
      <c r="C73" s="25">
        <v>35</v>
      </c>
      <c r="D73" s="26">
        <f>C73*I11</f>
        <v>0.56000000000000005</v>
      </c>
      <c r="E73" s="27">
        <f t="shared" si="1"/>
        <v>34.44</v>
      </c>
      <c r="K73" s="15"/>
    </row>
    <row r="74" spans="1:11" ht="15.75" customHeight="1">
      <c r="A74" s="23" t="s">
        <v>115</v>
      </c>
      <c r="B74" s="24">
        <v>27</v>
      </c>
      <c r="C74" s="25">
        <v>2</v>
      </c>
      <c r="D74" s="26">
        <v>0</v>
      </c>
      <c r="E74" s="27">
        <f t="shared" si="1"/>
        <v>2</v>
      </c>
      <c r="K74" s="15"/>
    </row>
    <row r="75" spans="1:11" ht="15.75" customHeight="1">
      <c r="A75" s="23" t="s">
        <v>116</v>
      </c>
      <c r="B75" s="24">
        <v>83</v>
      </c>
      <c r="C75" s="25">
        <v>35</v>
      </c>
      <c r="D75" s="26">
        <v>0</v>
      </c>
      <c r="E75" s="27">
        <f t="shared" si="1"/>
        <v>35</v>
      </c>
      <c r="K75" s="15"/>
    </row>
    <row r="76" spans="1:11" ht="15.75" customHeight="1">
      <c r="A76" s="23" t="s">
        <v>117</v>
      </c>
      <c r="B76" s="24">
        <v>35</v>
      </c>
      <c r="C76" s="25">
        <v>13</v>
      </c>
      <c r="D76" s="26">
        <v>0</v>
      </c>
      <c r="E76" s="27">
        <f t="shared" si="1"/>
        <v>13</v>
      </c>
      <c r="K76" s="15"/>
    </row>
    <row r="77" spans="1:11" ht="15.75" customHeight="1">
      <c r="A77" s="23" t="s">
        <v>118</v>
      </c>
      <c r="B77" s="42">
        <v>1</v>
      </c>
      <c r="C77" s="25">
        <v>14285</v>
      </c>
      <c r="D77" s="26">
        <f>C77*I2</f>
        <v>2999.85</v>
      </c>
      <c r="E77" s="27">
        <f t="shared" si="1"/>
        <v>11285.15</v>
      </c>
      <c r="K77" s="15"/>
    </row>
    <row r="78" spans="1:11" ht="15.75" customHeight="1">
      <c r="A78" s="23" t="s">
        <v>119</v>
      </c>
      <c r="B78" s="42">
        <v>1</v>
      </c>
      <c r="C78" s="25">
        <v>1452</v>
      </c>
      <c r="D78" s="26">
        <f>C78*I2</f>
        <v>304.92</v>
      </c>
      <c r="E78" s="27">
        <f t="shared" si="1"/>
        <v>1147.08</v>
      </c>
      <c r="K78" s="15"/>
    </row>
    <row r="79" spans="1:11" ht="15.75" customHeight="1">
      <c r="A79" s="23" t="s">
        <v>120</v>
      </c>
      <c r="B79" s="24">
        <v>73</v>
      </c>
      <c r="C79" s="25">
        <v>1280</v>
      </c>
      <c r="D79" s="26">
        <v>0</v>
      </c>
      <c r="E79" s="27">
        <f t="shared" si="1"/>
        <v>1280</v>
      </c>
      <c r="K79" s="15"/>
    </row>
    <row r="80" spans="1:11" ht="15.75" customHeight="1">
      <c r="A80" s="23" t="s">
        <v>121</v>
      </c>
      <c r="B80" s="42">
        <v>4</v>
      </c>
      <c r="C80" s="25">
        <v>500</v>
      </c>
      <c r="D80" s="26">
        <f>C80*I5</f>
        <v>23</v>
      </c>
      <c r="E80" s="27">
        <f t="shared" si="1"/>
        <v>477</v>
      </c>
      <c r="K80" s="15"/>
    </row>
    <row r="81" spans="1:11" ht="15.75" customHeight="1">
      <c r="A81" s="23" t="s">
        <v>122</v>
      </c>
      <c r="B81" s="42">
        <v>1</v>
      </c>
      <c r="C81" s="25">
        <v>450</v>
      </c>
      <c r="D81" s="26">
        <f>C81*I2</f>
        <v>94.5</v>
      </c>
      <c r="E81" s="27">
        <f t="shared" si="1"/>
        <v>355.5</v>
      </c>
      <c r="K81" s="15"/>
    </row>
    <row r="82" spans="1:11" ht="15.75" customHeight="1">
      <c r="A82" s="23" t="s">
        <v>123</v>
      </c>
      <c r="B82" s="42">
        <v>1</v>
      </c>
      <c r="C82" s="25">
        <v>415</v>
      </c>
      <c r="D82" s="26">
        <f>C82*I2</f>
        <v>87.149999999999991</v>
      </c>
      <c r="E82" s="27">
        <f t="shared" si="1"/>
        <v>327.85</v>
      </c>
      <c r="K82" s="15"/>
    </row>
    <row r="83" spans="1:11" ht="15.75" customHeight="1">
      <c r="A83" s="23" t="s">
        <v>124</v>
      </c>
      <c r="B83" s="42">
        <v>5</v>
      </c>
      <c r="C83" s="25">
        <v>474</v>
      </c>
      <c r="D83" s="26">
        <f>C83*I6</f>
        <v>16.116</v>
      </c>
      <c r="E83" s="27">
        <f t="shared" si="1"/>
        <v>457.88400000000001</v>
      </c>
      <c r="K83" s="15"/>
    </row>
    <row r="84" spans="1:11" ht="15.75" customHeight="1">
      <c r="A84" s="23" t="s">
        <v>125</v>
      </c>
      <c r="B84" s="24">
        <v>71</v>
      </c>
      <c r="C84" s="25">
        <v>312</v>
      </c>
      <c r="D84" s="26">
        <v>0</v>
      </c>
      <c r="E84" s="27">
        <f t="shared" si="1"/>
        <v>312</v>
      </c>
      <c r="K84" s="15"/>
    </row>
    <row r="85" spans="1:11" ht="15.75" customHeight="1">
      <c r="A85" s="23" t="s">
        <v>126</v>
      </c>
      <c r="B85" s="42">
        <v>1</v>
      </c>
      <c r="C85" s="25">
        <v>326</v>
      </c>
      <c r="D85" s="26">
        <f>C85*I2</f>
        <v>68.459999999999994</v>
      </c>
      <c r="E85" s="27">
        <f t="shared" si="1"/>
        <v>257.54000000000002</v>
      </c>
      <c r="K85" s="15"/>
    </row>
    <row r="86" spans="1:11" ht="15.75" customHeight="1">
      <c r="A86" s="23" t="s">
        <v>127</v>
      </c>
      <c r="B86" s="42">
        <v>1</v>
      </c>
      <c r="C86" s="25">
        <v>15</v>
      </c>
      <c r="D86" s="26">
        <f>C86*I2</f>
        <v>3.15</v>
      </c>
      <c r="E86" s="27">
        <f t="shared" si="1"/>
        <v>11.85</v>
      </c>
      <c r="K86" s="15"/>
    </row>
    <row r="87" spans="1:11" ht="15.75" customHeight="1">
      <c r="A87" s="23" t="s">
        <v>128</v>
      </c>
      <c r="B87" s="42">
        <v>1</v>
      </c>
      <c r="C87" s="25">
        <v>9</v>
      </c>
      <c r="D87" s="26">
        <f>C87*I2</f>
        <v>1.89</v>
      </c>
      <c r="E87" s="27">
        <f t="shared" si="1"/>
        <v>7.11</v>
      </c>
      <c r="K87" s="15"/>
    </row>
    <row r="88" spans="1:11" ht="15.75" customHeight="1">
      <c r="A88" s="23" t="s">
        <v>129</v>
      </c>
      <c r="B88" s="24">
        <v>75</v>
      </c>
      <c r="C88" s="25">
        <v>10968</v>
      </c>
      <c r="D88" s="26">
        <v>0</v>
      </c>
      <c r="E88" s="27">
        <f t="shared" si="1"/>
        <v>10968</v>
      </c>
      <c r="K88" s="15"/>
    </row>
    <row r="89" spans="1:11" ht="15.75" customHeight="1">
      <c r="A89" s="23" t="s">
        <v>130</v>
      </c>
      <c r="B89" s="24">
        <v>96</v>
      </c>
      <c r="C89" s="25">
        <v>895</v>
      </c>
      <c r="D89" s="26">
        <v>0</v>
      </c>
      <c r="E89" s="27">
        <f t="shared" si="1"/>
        <v>895</v>
      </c>
      <c r="K89" s="15"/>
    </row>
    <row r="90" spans="1:11" ht="15.75" customHeight="1">
      <c r="A90" s="23" t="s">
        <v>131</v>
      </c>
      <c r="B90" s="24">
        <v>18</v>
      </c>
      <c r="C90" s="25">
        <v>224</v>
      </c>
      <c r="D90" s="26">
        <v>0</v>
      </c>
      <c r="E90" s="27">
        <f t="shared" si="1"/>
        <v>224</v>
      </c>
      <c r="K90" s="15"/>
    </row>
    <row r="91" spans="1:11" ht="15.75" customHeight="1">
      <c r="A91" s="23" t="s">
        <v>132</v>
      </c>
      <c r="B91" s="24">
        <v>65</v>
      </c>
      <c r="C91" s="25">
        <v>226</v>
      </c>
      <c r="D91" s="26">
        <v>0</v>
      </c>
      <c r="E91" s="27">
        <f t="shared" si="1"/>
        <v>226</v>
      </c>
      <c r="K91" s="15"/>
    </row>
    <row r="92" spans="1:11" ht="15.75" customHeight="1">
      <c r="A92" s="23" t="s">
        <v>133</v>
      </c>
      <c r="B92" s="24">
        <v>20</v>
      </c>
      <c r="C92" s="25">
        <v>17</v>
      </c>
      <c r="D92" s="26">
        <v>0</v>
      </c>
      <c r="E92" s="27">
        <f t="shared" si="1"/>
        <v>17</v>
      </c>
      <c r="K92" s="15"/>
    </row>
    <row r="93" spans="1:11" ht="15.75" customHeight="1">
      <c r="A93" s="23" t="s">
        <v>134</v>
      </c>
      <c r="B93" s="24">
        <v>16</v>
      </c>
      <c r="C93" s="25">
        <v>13</v>
      </c>
      <c r="D93" s="26">
        <v>0</v>
      </c>
      <c r="E93" s="27">
        <f t="shared" si="1"/>
        <v>13</v>
      </c>
      <c r="K93" s="15"/>
    </row>
    <row r="94" spans="1:11" ht="15.75" customHeight="1">
      <c r="A94" s="23" t="s">
        <v>135</v>
      </c>
      <c r="B94" s="24">
        <v>69</v>
      </c>
      <c r="C94" s="25">
        <v>15</v>
      </c>
      <c r="D94" s="26">
        <v>0</v>
      </c>
      <c r="E94" s="27">
        <f t="shared" si="1"/>
        <v>15</v>
      </c>
      <c r="K94" s="15"/>
    </row>
    <row r="95" spans="1:11" ht="15.75" customHeight="1">
      <c r="A95" s="23" t="s">
        <v>136</v>
      </c>
      <c r="B95" s="42">
        <v>7</v>
      </c>
      <c r="C95" s="25">
        <v>950</v>
      </c>
      <c r="D95" s="26">
        <f>C95*I8</f>
        <v>25.65</v>
      </c>
      <c r="E95" s="27">
        <f t="shared" si="1"/>
        <v>924.35</v>
      </c>
      <c r="K95" s="15"/>
    </row>
    <row r="96" spans="1:11" ht="15.75" customHeight="1">
      <c r="A96" s="23" t="s">
        <v>137</v>
      </c>
      <c r="B96" s="42">
        <v>8</v>
      </c>
      <c r="C96" s="25">
        <v>126</v>
      </c>
      <c r="D96" s="26">
        <f>C96*I9</f>
        <v>2.1420000000000003</v>
      </c>
      <c r="E96" s="27">
        <f t="shared" si="1"/>
        <v>123.858</v>
      </c>
      <c r="K96" s="15"/>
    </row>
    <row r="97" spans="1:11" ht="15.75" customHeight="1">
      <c r="A97" s="23" t="s">
        <v>138</v>
      </c>
      <c r="B97" s="24">
        <v>19</v>
      </c>
      <c r="C97" s="25">
        <v>114</v>
      </c>
      <c r="D97" s="26">
        <v>0</v>
      </c>
      <c r="E97" s="27">
        <f t="shared" si="1"/>
        <v>114</v>
      </c>
      <c r="K97" s="15"/>
    </row>
    <row r="98" spans="1:11" ht="15.75" customHeight="1">
      <c r="A98" s="23" t="s">
        <v>139</v>
      </c>
      <c r="B98" s="42">
        <v>10</v>
      </c>
      <c r="C98" s="25">
        <v>46</v>
      </c>
      <c r="D98" s="26">
        <f>C98*I11</f>
        <v>0.73599999999999999</v>
      </c>
      <c r="E98" s="27">
        <f t="shared" si="1"/>
        <v>45.264000000000003</v>
      </c>
      <c r="K98" s="15"/>
    </row>
    <row r="99" spans="1:11" ht="15.75" customHeight="1">
      <c r="A99" s="23" t="s">
        <v>140</v>
      </c>
      <c r="B99" s="24">
        <v>26</v>
      </c>
      <c r="C99" s="25">
        <v>1001</v>
      </c>
      <c r="D99" s="26">
        <v>0</v>
      </c>
      <c r="E99" s="27">
        <f t="shared" si="1"/>
        <v>1001</v>
      </c>
      <c r="K99" s="15"/>
    </row>
    <row r="100" spans="1:11" ht="15.75" customHeight="1">
      <c r="A100" s="23" t="s">
        <v>141</v>
      </c>
      <c r="B100" s="24">
        <v>30</v>
      </c>
      <c r="C100" s="25">
        <v>120</v>
      </c>
      <c r="D100" s="26">
        <v>0</v>
      </c>
      <c r="E100" s="27">
        <f t="shared" si="1"/>
        <v>120</v>
      </c>
      <c r="K100" s="15"/>
    </row>
    <row r="101" spans="1:11" ht="15.75" customHeight="1">
      <c r="A101" s="23" t="s">
        <v>142</v>
      </c>
      <c r="B101" s="24">
        <v>16</v>
      </c>
      <c r="C101" s="25">
        <v>207</v>
      </c>
      <c r="D101" s="26">
        <v>0</v>
      </c>
      <c r="E101" s="27">
        <f t="shared" si="1"/>
        <v>207</v>
      </c>
      <c r="K101" s="15"/>
    </row>
    <row r="102" spans="1:11" ht="15.75" customHeight="1">
      <c r="A102" s="23" t="s">
        <v>143</v>
      </c>
      <c r="B102" s="24">
        <v>22</v>
      </c>
      <c r="C102" s="25">
        <v>22</v>
      </c>
      <c r="D102" s="26">
        <v>0</v>
      </c>
      <c r="E102" s="27">
        <f t="shared" si="1"/>
        <v>22</v>
      </c>
      <c r="K102" s="15"/>
    </row>
    <row r="103" spans="1:11" ht="15.75" customHeight="1">
      <c r="A103" s="23" t="s">
        <v>144</v>
      </c>
      <c r="B103" s="24">
        <v>78</v>
      </c>
      <c r="C103" s="25">
        <v>121</v>
      </c>
      <c r="D103" s="26">
        <v>0</v>
      </c>
      <c r="E103" s="27">
        <f t="shared" si="1"/>
        <v>121</v>
      </c>
      <c r="K103" s="15"/>
    </row>
    <row r="104" spans="1:11" ht="15.75" customHeight="1">
      <c r="A104" s="23" t="s">
        <v>145</v>
      </c>
      <c r="B104" s="24">
        <v>66</v>
      </c>
      <c r="C104" s="25">
        <v>57915</v>
      </c>
      <c r="D104" s="26">
        <v>0</v>
      </c>
      <c r="E104" s="27">
        <f t="shared" si="1"/>
        <v>57915</v>
      </c>
      <c r="K104" s="15"/>
    </row>
    <row r="105" spans="1:11" ht="15.75" customHeight="1">
      <c r="A105" s="23" t="s">
        <v>146</v>
      </c>
      <c r="B105" s="24">
        <v>51</v>
      </c>
      <c r="C105" s="25">
        <v>9252</v>
      </c>
      <c r="D105" s="26">
        <v>0</v>
      </c>
      <c r="E105" s="27">
        <f t="shared" si="1"/>
        <v>9252</v>
      </c>
      <c r="K105" s="15"/>
    </row>
    <row r="106" spans="1:11" ht="15.75" customHeight="1">
      <c r="A106" s="23" t="s">
        <v>147</v>
      </c>
      <c r="B106" s="24">
        <v>87</v>
      </c>
      <c r="C106" s="25">
        <v>8891</v>
      </c>
      <c r="D106" s="26">
        <v>0</v>
      </c>
      <c r="E106" s="27">
        <f t="shared" si="1"/>
        <v>8891</v>
      </c>
      <c r="K106" s="15"/>
    </row>
    <row r="107" spans="1:11" ht="15.75" customHeight="1">
      <c r="A107" s="23" t="s">
        <v>148</v>
      </c>
      <c r="B107" s="24">
        <v>69</v>
      </c>
      <c r="C107" s="25">
        <v>5569</v>
      </c>
      <c r="D107" s="26">
        <v>0</v>
      </c>
      <c r="E107" s="27">
        <f t="shared" si="1"/>
        <v>5569</v>
      </c>
      <c r="K107" s="15"/>
    </row>
    <row r="108" spans="1:11" ht="15.75" customHeight="1">
      <c r="A108" s="23" t="s">
        <v>149</v>
      </c>
      <c r="B108" s="24">
        <v>40</v>
      </c>
      <c r="C108" s="25">
        <v>1043</v>
      </c>
      <c r="D108" s="26">
        <v>0</v>
      </c>
      <c r="E108" s="27">
        <f t="shared" si="1"/>
        <v>1043</v>
      </c>
      <c r="K108" s="15"/>
    </row>
    <row r="109" spans="1:11" ht="15.75" customHeight="1">
      <c r="A109" s="23" t="s">
        <v>150</v>
      </c>
      <c r="B109" s="24">
        <v>60</v>
      </c>
      <c r="C109" s="25">
        <v>860</v>
      </c>
      <c r="D109" s="26">
        <v>0</v>
      </c>
      <c r="E109" s="27">
        <f t="shared" si="1"/>
        <v>860</v>
      </c>
      <c r="K109" s="15"/>
    </row>
    <row r="110" spans="1:11" ht="15.75" customHeight="1">
      <c r="A110" s="23" t="s">
        <v>151</v>
      </c>
      <c r="B110" s="24">
        <v>96</v>
      </c>
      <c r="C110" s="25">
        <v>507</v>
      </c>
      <c r="D110" s="26">
        <v>0</v>
      </c>
      <c r="E110" s="27">
        <f t="shared" si="1"/>
        <v>507</v>
      </c>
      <c r="K110" s="15"/>
    </row>
    <row r="111" spans="1:11" ht="15.75" customHeight="1">
      <c r="A111" s="23" t="s">
        <v>152</v>
      </c>
      <c r="B111" s="24">
        <v>48</v>
      </c>
      <c r="C111" s="25">
        <v>379</v>
      </c>
      <c r="D111" s="26">
        <v>0</v>
      </c>
      <c r="E111" s="27">
        <f t="shared" si="1"/>
        <v>379</v>
      </c>
      <c r="K111" s="15"/>
    </row>
    <row r="112" spans="1:11" ht="15.75" customHeight="1">
      <c r="A112" s="23" t="s">
        <v>153</v>
      </c>
      <c r="B112" s="24">
        <v>82</v>
      </c>
      <c r="C112" s="25">
        <v>781</v>
      </c>
      <c r="D112" s="26">
        <v>0</v>
      </c>
      <c r="E112" s="27">
        <f t="shared" si="1"/>
        <v>781</v>
      </c>
      <c r="K112" s="15"/>
    </row>
    <row r="113" spans="1:11" ht="15.75" customHeight="1">
      <c r="A113" s="23" t="s">
        <v>154</v>
      </c>
      <c r="B113" s="24">
        <v>31</v>
      </c>
      <c r="C113" s="25">
        <v>2543</v>
      </c>
      <c r="D113" s="26">
        <v>0</v>
      </c>
      <c r="E113" s="27">
        <f t="shared" si="1"/>
        <v>2543</v>
      </c>
      <c r="K113" s="15"/>
    </row>
    <row r="114" spans="1:11" ht="15.75" customHeight="1">
      <c r="A114" s="23" t="s">
        <v>155</v>
      </c>
      <c r="B114" s="24">
        <v>35</v>
      </c>
      <c r="C114" s="25">
        <v>529</v>
      </c>
      <c r="D114" s="26">
        <v>0</v>
      </c>
      <c r="E114" s="27">
        <f t="shared" si="1"/>
        <v>529</v>
      </c>
      <c r="K114" s="15"/>
    </row>
    <row r="115" spans="1:11" ht="15.75" customHeight="1">
      <c r="A115" s="23" t="s">
        <v>156</v>
      </c>
      <c r="B115" s="24">
        <v>30</v>
      </c>
      <c r="C115" s="25">
        <v>75</v>
      </c>
      <c r="D115" s="26">
        <v>0</v>
      </c>
      <c r="E115" s="27">
        <f t="shared" si="1"/>
        <v>75</v>
      </c>
      <c r="K115" s="15"/>
    </row>
    <row r="116" spans="1:11" ht="15.75" customHeight="1">
      <c r="A116" s="23" t="s">
        <v>157</v>
      </c>
      <c r="B116" s="24">
        <v>25</v>
      </c>
      <c r="C116" s="25">
        <v>51</v>
      </c>
      <c r="D116" s="26">
        <v>0</v>
      </c>
      <c r="E116" s="27">
        <f t="shared" si="1"/>
        <v>51</v>
      </c>
      <c r="K116" s="15"/>
    </row>
    <row r="117" spans="1:11" ht="15.75" customHeight="1">
      <c r="A117" s="23" t="s">
        <v>158</v>
      </c>
      <c r="B117" s="24">
        <v>28</v>
      </c>
      <c r="C117" s="25">
        <v>61</v>
      </c>
      <c r="D117" s="26">
        <v>0</v>
      </c>
      <c r="E117" s="27">
        <f t="shared" si="1"/>
        <v>61</v>
      </c>
      <c r="K117" s="15"/>
    </row>
    <row r="118" spans="1:11" ht="15.75" customHeight="1">
      <c r="A118" s="23" t="s">
        <v>159</v>
      </c>
      <c r="B118" s="24">
        <v>25</v>
      </c>
      <c r="C118" s="25">
        <v>19</v>
      </c>
      <c r="D118" s="26">
        <v>0</v>
      </c>
      <c r="E118" s="27">
        <f t="shared" si="1"/>
        <v>19</v>
      </c>
      <c r="K118" s="15"/>
    </row>
    <row r="119" spans="1:11" ht="15.75" customHeight="1">
      <c r="A119" s="23" t="s">
        <v>160</v>
      </c>
      <c r="B119" s="24">
        <v>29</v>
      </c>
      <c r="C119" s="25">
        <v>7</v>
      </c>
      <c r="D119" s="26">
        <v>0</v>
      </c>
      <c r="E119" s="27">
        <f t="shared" si="1"/>
        <v>7</v>
      </c>
      <c r="K119" s="15"/>
    </row>
    <row r="120" spans="1:11" ht="15.75" customHeight="1">
      <c r="A120" s="23" t="s">
        <v>161</v>
      </c>
      <c r="B120" s="24">
        <v>13</v>
      </c>
      <c r="C120" s="25">
        <v>316</v>
      </c>
      <c r="D120" s="26">
        <v>0</v>
      </c>
      <c r="E120" s="27">
        <f t="shared" si="1"/>
        <v>316</v>
      </c>
      <c r="K120" s="15"/>
    </row>
    <row r="121" spans="1:11" ht="15.75" customHeight="1">
      <c r="A121" s="23" t="s">
        <v>162</v>
      </c>
      <c r="B121" s="24">
        <v>69</v>
      </c>
      <c r="C121" s="25">
        <v>284</v>
      </c>
      <c r="D121" s="26">
        <v>0</v>
      </c>
      <c r="E121" s="27">
        <f t="shared" si="1"/>
        <v>284</v>
      </c>
      <c r="K121" s="15"/>
    </row>
    <row r="122" spans="1:11" ht="15.75" customHeight="1">
      <c r="A122" s="23" t="s">
        <v>163</v>
      </c>
      <c r="B122" s="42">
        <v>8</v>
      </c>
      <c r="C122" s="25">
        <v>116860</v>
      </c>
      <c r="D122" s="26">
        <f>C122*I9</f>
        <v>1986.6200000000001</v>
      </c>
      <c r="E122" s="27">
        <f t="shared" si="1"/>
        <v>114873.38</v>
      </c>
      <c r="K122" s="15"/>
    </row>
    <row r="123" spans="1:11" ht="15.75" customHeight="1">
      <c r="A123" s="23" t="s">
        <v>164</v>
      </c>
      <c r="B123" s="42">
        <v>7</v>
      </c>
      <c r="C123" s="25">
        <v>13826</v>
      </c>
      <c r="D123" s="26">
        <f>C123*I8</f>
        <v>373.30200000000002</v>
      </c>
      <c r="E123" s="27">
        <f t="shared" si="1"/>
        <v>13452.698</v>
      </c>
      <c r="K123" s="15"/>
    </row>
    <row r="124" spans="1:11" ht="15.75" customHeight="1">
      <c r="A124" s="23" t="s">
        <v>165</v>
      </c>
      <c r="B124" s="42">
        <v>7</v>
      </c>
      <c r="C124" s="25">
        <v>12</v>
      </c>
      <c r="D124" s="26">
        <f>C124*I8</f>
        <v>0.32400000000000001</v>
      </c>
      <c r="E124" s="27">
        <f t="shared" si="1"/>
        <v>11.676</v>
      </c>
      <c r="K124" s="15"/>
    </row>
    <row r="125" spans="1:11" ht="15.75" customHeight="1">
      <c r="A125" s="23" t="s">
        <v>166</v>
      </c>
      <c r="B125" s="42">
        <v>4</v>
      </c>
      <c r="C125" s="25">
        <v>17</v>
      </c>
      <c r="D125" s="26">
        <f>C125*I5</f>
        <v>0.78200000000000003</v>
      </c>
      <c r="E125" s="27">
        <f t="shared" si="1"/>
        <v>16.218</v>
      </c>
      <c r="K125" s="15"/>
    </row>
    <row r="126" spans="1:11" ht="15.75" customHeight="1">
      <c r="A126" s="23" t="s">
        <v>167</v>
      </c>
      <c r="B126" s="42">
        <v>9</v>
      </c>
      <c r="C126" s="25">
        <v>67</v>
      </c>
      <c r="D126" s="26">
        <f>C126*I11</f>
        <v>1.0720000000000001</v>
      </c>
      <c r="E126" s="27">
        <f t="shared" si="1"/>
        <v>65.927999999999997</v>
      </c>
      <c r="K126" s="15"/>
    </row>
    <row r="127" spans="1:11" ht="15.75" customHeight="1">
      <c r="A127" s="23" t="s">
        <v>168</v>
      </c>
      <c r="B127" s="42">
        <v>3</v>
      </c>
      <c r="C127" s="25">
        <v>28</v>
      </c>
      <c r="D127" s="26">
        <f>C127*I4</f>
        <v>2.1</v>
      </c>
      <c r="E127" s="27">
        <f t="shared" si="1"/>
        <v>25.9</v>
      </c>
      <c r="K127" s="15"/>
    </row>
    <row r="128" spans="1:11" ht="15.75" customHeight="1">
      <c r="A128" s="23" t="s">
        <v>169</v>
      </c>
      <c r="B128" s="24">
        <v>17</v>
      </c>
      <c r="C128" s="25">
        <v>152335</v>
      </c>
      <c r="D128" s="26">
        <v>0</v>
      </c>
      <c r="E128" s="27">
        <f t="shared" si="1"/>
        <v>152335</v>
      </c>
      <c r="K128" s="15"/>
    </row>
    <row r="129" spans="1:11" ht="15.75" customHeight="1">
      <c r="A129" s="23" t="s">
        <v>170</v>
      </c>
      <c r="B129" s="24">
        <v>19</v>
      </c>
      <c r="C129" s="25">
        <v>15528</v>
      </c>
      <c r="D129" s="26">
        <v>0</v>
      </c>
      <c r="E129" s="27">
        <f t="shared" si="1"/>
        <v>15528</v>
      </c>
      <c r="K129" s="15"/>
    </row>
    <row r="130" spans="1:11" ht="15.75" customHeight="1">
      <c r="A130" s="23" t="s">
        <v>171</v>
      </c>
      <c r="B130" s="24">
        <v>13</v>
      </c>
      <c r="C130" s="25">
        <v>3814</v>
      </c>
      <c r="D130" s="26">
        <v>0</v>
      </c>
      <c r="E130" s="27">
        <f t="shared" ref="E130" si="2">C130-D130</f>
        <v>3814</v>
      </c>
      <c r="K130" s="15"/>
    </row>
    <row r="131" spans="1:11">
      <c r="C131" s="12">
        <f>SUM(C2:C130)</f>
        <v>671158</v>
      </c>
      <c r="E131" s="33">
        <f>SUM(E2:E130)</f>
        <v>664585.26399999997</v>
      </c>
      <c r="G131" s="34">
        <f>E131/C131*100</f>
        <v>99.020687230130605</v>
      </c>
    </row>
  </sheetData>
  <pageMargins left="0.7" right="0.7" top="0.75" bottom="0.75" header="0.3" footer="0.3"/>
  <pageSetup paperSize="9" firstPageNumber="4294967295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4"/>
  <sheetViews>
    <sheetView workbookViewId="0">
      <selection activeCell="H23" sqref="H23"/>
    </sheetView>
  </sheetViews>
  <sheetFormatPr defaultRowHeight="15"/>
  <cols>
    <col min="2" max="2" width="32.140625" customWidth="1"/>
    <col min="3" max="3" width="29" customWidth="1"/>
    <col min="4" max="4" width="35.28515625" customWidth="1"/>
  </cols>
  <sheetData>
    <row r="1" spans="1:4">
      <c r="A1" s="22" t="s">
        <v>13</v>
      </c>
      <c r="B1" s="22" t="s">
        <v>19</v>
      </c>
      <c r="C1" s="22" t="s">
        <v>32</v>
      </c>
      <c r="D1" s="35" t="s">
        <v>33</v>
      </c>
    </row>
    <row r="2" spans="1:4">
      <c r="A2" s="36">
        <v>45261</v>
      </c>
      <c r="B2" s="37">
        <v>0.62</v>
      </c>
      <c r="C2" s="38">
        <f>'Прогноз трафика max'!K5*B18</f>
        <v>0</v>
      </c>
      <c r="D2" s="38">
        <f t="shared" ref="D2:D13" si="0">C2*B2</f>
        <v>0</v>
      </c>
    </row>
    <row r="3" spans="1:4">
      <c r="A3" s="36">
        <v>45292</v>
      </c>
      <c r="B3" s="37">
        <v>0.68</v>
      </c>
      <c r="C3" s="38">
        <f>'Прогноз трафика max'!K5*B19</f>
        <v>5.3227739508997276</v>
      </c>
      <c r="D3" s="38">
        <f t="shared" si="0"/>
        <v>3.6194862866118149</v>
      </c>
    </row>
    <row r="4" spans="1:4">
      <c r="A4" s="36">
        <v>45323</v>
      </c>
      <c r="B4" s="37">
        <v>0.71</v>
      </c>
      <c r="C4" s="38">
        <f>'Прогноз трафика max'!K5*B20</f>
        <v>53.227739508997274</v>
      </c>
      <c r="D4" s="38">
        <f t="shared" si="0"/>
        <v>37.791695051388061</v>
      </c>
    </row>
    <row r="5" spans="1:4">
      <c r="A5" s="36">
        <v>45352</v>
      </c>
      <c r="B5" s="37">
        <v>0.84</v>
      </c>
      <c r="C5" s="38">
        <f>'Прогноз трафика max'!K5*B21</f>
        <v>117.10102691979401</v>
      </c>
      <c r="D5" s="38">
        <f t="shared" si="0"/>
        <v>98.364862612626965</v>
      </c>
    </row>
    <row r="6" spans="1:4">
      <c r="A6" s="36">
        <v>45383</v>
      </c>
      <c r="B6" s="37">
        <v>0.76</v>
      </c>
      <c r="C6" s="38">
        <f>'Прогноз трафика max'!K5*B22</f>
        <v>180.97431433059074</v>
      </c>
      <c r="D6" s="38">
        <f t="shared" si="0"/>
        <v>137.54047889124897</v>
      </c>
    </row>
    <row r="7" spans="1:4">
      <c r="A7" s="36">
        <v>45413</v>
      </c>
      <c r="B7" s="37">
        <v>0.76</v>
      </c>
      <c r="C7" s="38">
        <f>'Прогноз трафика max'!K5*B23</f>
        <v>250.17037569228717</v>
      </c>
      <c r="D7" s="38">
        <f t="shared" si="0"/>
        <v>190.12948552613824</v>
      </c>
    </row>
    <row r="8" spans="1:4">
      <c r="A8" s="36">
        <v>45444</v>
      </c>
      <c r="B8" s="37">
        <v>0.78</v>
      </c>
      <c r="C8" s="38">
        <f>'Прогноз трафика max'!K5*B24</f>
        <v>324.68921100488336</v>
      </c>
      <c r="D8" s="38">
        <f t="shared" si="0"/>
        <v>253.25758458380903</v>
      </c>
    </row>
    <row r="9" spans="1:4">
      <c r="A9" s="36">
        <v>45474</v>
      </c>
      <c r="B9" s="37">
        <v>0.91</v>
      </c>
      <c r="C9" s="38">
        <f>'Прогноз трафика max'!K5*B25</f>
        <v>383.23972446478035</v>
      </c>
      <c r="D9" s="38">
        <f t="shared" si="0"/>
        <v>348.74814926295011</v>
      </c>
    </row>
    <row r="10" spans="1:4">
      <c r="A10" s="36">
        <v>45505</v>
      </c>
      <c r="B10" s="37">
        <v>0.95</v>
      </c>
      <c r="C10" s="38">
        <f>'Прогноз трафика max'!K5*B26</f>
        <v>425.82191607197819</v>
      </c>
      <c r="D10" s="38">
        <f t="shared" si="0"/>
        <v>404.53082026837927</v>
      </c>
    </row>
    <row r="11" spans="1:4">
      <c r="A11" s="36">
        <v>45536</v>
      </c>
      <c r="B11" s="37">
        <v>0.97</v>
      </c>
      <c r="C11" s="38">
        <f>'Прогноз трафика max'!K5*B27</f>
        <v>463.08133372827626</v>
      </c>
      <c r="D11" s="38">
        <f t="shared" si="0"/>
        <v>449.18889371642797</v>
      </c>
    </row>
    <row r="12" spans="1:4">
      <c r="A12" s="36">
        <v>45566</v>
      </c>
      <c r="B12" s="37">
        <v>1.1399999999999999</v>
      </c>
      <c r="C12" s="38">
        <f>'Прогноз трафика max'!K5*B28</f>
        <v>510.98629928637382</v>
      </c>
      <c r="D12" s="38">
        <f t="shared" si="0"/>
        <v>582.52438118646614</v>
      </c>
    </row>
    <row r="13" spans="1:4">
      <c r="A13" s="39">
        <v>45597</v>
      </c>
      <c r="B13" s="37">
        <v>0.98</v>
      </c>
      <c r="C13" s="38">
        <f>'Прогноз трафика max'!K5*B29</f>
        <v>532.27739508997274</v>
      </c>
      <c r="D13" s="38">
        <f t="shared" si="0"/>
        <v>521.63184718817331</v>
      </c>
    </row>
    <row r="17" spans="1:4">
      <c r="A17" s="22" t="s">
        <v>22</v>
      </c>
      <c r="B17" s="22" t="s">
        <v>173</v>
      </c>
    </row>
    <row r="18" spans="1:4">
      <c r="A18" s="36">
        <v>45261</v>
      </c>
      <c r="B18" s="23">
        <v>0</v>
      </c>
    </row>
    <row r="19" spans="1:4">
      <c r="A19" s="36">
        <v>45292</v>
      </c>
      <c r="B19" s="23">
        <v>0.01</v>
      </c>
    </row>
    <row r="20" spans="1:4">
      <c r="A20" s="36">
        <v>45323</v>
      </c>
      <c r="B20" s="23">
        <v>0.1</v>
      </c>
    </row>
    <row r="21" spans="1:4">
      <c r="A21" s="36">
        <v>45352</v>
      </c>
      <c r="B21" s="23">
        <v>0.22</v>
      </c>
    </row>
    <row r="22" spans="1:4">
      <c r="A22" s="36">
        <v>45383</v>
      </c>
      <c r="B22" s="23">
        <v>0.34</v>
      </c>
    </row>
    <row r="23" spans="1:4">
      <c r="A23" s="36">
        <v>45413</v>
      </c>
      <c r="B23" s="23">
        <v>0.47</v>
      </c>
    </row>
    <row r="24" spans="1:4">
      <c r="A24" s="36">
        <v>45444</v>
      </c>
      <c r="B24" s="23">
        <v>0.61</v>
      </c>
    </row>
    <row r="25" spans="1:4">
      <c r="A25" s="36">
        <v>45474</v>
      </c>
      <c r="B25" s="23">
        <v>0.72</v>
      </c>
    </row>
    <row r="26" spans="1:4">
      <c r="A26" s="36">
        <v>45505</v>
      </c>
      <c r="B26" s="23">
        <v>0.8</v>
      </c>
    </row>
    <row r="27" spans="1:4">
      <c r="A27" s="36">
        <v>45536</v>
      </c>
      <c r="B27" s="23">
        <v>0.87</v>
      </c>
    </row>
    <row r="28" spans="1:4">
      <c r="A28" s="36">
        <v>45566</v>
      </c>
      <c r="B28" s="23">
        <v>0.96</v>
      </c>
    </row>
    <row r="29" spans="1:4">
      <c r="A29" s="39">
        <v>45597</v>
      </c>
      <c r="B29" s="23">
        <v>1</v>
      </c>
    </row>
    <row r="30" spans="1:4">
      <c r="B30" s="17"/>
    </row>
    <row r="32" spans="1:4">
      <c r="A32" s="22" t="s">
        <v>13</v>
      </c>
      <c r="B32" s="22" t="s">
        <v>34</v>
      </c>
      <c r="C32" s="22" t="s">
        <v>35</v>
      </c>
      <c r="D32" s="22" t="s">
        <v>36</v>
      </c>
    </row>
    <row r="33" spans="1:4">
      <c r="A33" s="36">
        <v>45261</v>
      </c>
      <c r="B33" s="24">
        <f>2802+1555</f>
        <v>4357</v>
      </c>
      <c r="C33" s="40">
        <v>0</v>
      </c>
      <c r="D33" s="23">
        <f t="shared" ref="D33:D44" si="1">B33+C33</f>
        <v>4357</v>
      </c>
    </row>
    <row r="34" spans="1:4">
      <c r="A34" s="36">
        <v>45292</v>
      </c>
      <c r="B34" s="24">
        <f>3255+2188</f>
        <v>5443</v>
      </c>
      <c r="C34" s="40">
        <v>4</v>
      </c>
      <c r="D34" s="23">
        <f t="shared" si="1"/>
        <v>5447</v>
      </c>
    </row>
    <row r="35" spans="1:4">
      <c r="A35" s="36">
        <v>45323</v>
      </c>
      <c r="B35" s="24">
        <f>3165+1762</f>
        <v>4927</v>
      </c>
      <c r="C35" s="40">
        <v>38</v>
      </c>
      <c r="D35" s="23">
        <f t="shared" si="1"/>
        <v>4965</v>
      </c>
    </row>
    <row r="36" spans="1:4">
      <c r="A36" s="36">
        <v>45352</v>
      </c>
      <c r="B36" s="24">
        <f>3433+1723</f>
        <v>5156</v>
      </c>
      <c r="C36" s="40">
        <v>98</v>
      </c>
      <c r="D36" s="23">
        <f t="shared" si="1"/>
        <v>5254</v>
      </c>
    </row>
    <row r="37" spans="1:4">
      <c r="A37" s="36">
        <v>45383</v>
      </c>
      <c r="B37" s="24">
        <f>3615+1761</f>
        <v>5376</v>
      </c>
      <c r="C37" s="40">
        <v>138</v>
      </c>
      <c r="D37" s="23">
        <f t="shared" si="1"/>
        <v>5514</v>
      </c>
    </row>
    <row r="38" spans="1:4">
      <c r="A38" s="36">
        <v>45413</v>
      </c>
      <c r="B38" s="24">
        <f>3701+2021</f>
        <v>5722</v>
      </c>
      <c r="C38" s="40">
        <v>190</v>
      </c>
      <c r="D38" s="23">
        <f t="shared" si="1"/>
        <v>5912</v>
      </c>
    </row>
    <row r="39" spans="1:4">
      <c r="A39" s="36">
        <v>45444</v>
      </c>
      <c r="B39" s="24">
        <f>3205+1333</f>
        <v>4538</v>
      </c>
      <c r="C39" s="40">
        <v>253</v>
      </c>
      <c r="D39" s="23">
        <f t="shared" si="1"/>
        <v>4791</v>
      </c>
    </row>
    <row r="40" spans="1:4">
      <c r="A40" s="36">
        <v>45474</v>
      </c>
      <c r="B40" s="24">
        <f>2868+1474</f>
        <v>4342</v>
      </c>
      <c r="C40" s="40">
        <v>349</v>
      </c>
      <c r="D40" s="23">
        <f t="shared" si="1"/>
        <v>4691</v>
      </c>
    </row>
    <row r="41" spans="1:4">
      <c r="A41" s="36">
        <v>45505</v>
      </c>
      <c r="B41" s="24">
        <f>2670+1228</f>
        <v>3898</v>
      </c>
      <c r="C41" s="40">
        <v>405</v>
      </c>
      <c r="D41" s="23">
        <f t="shared" si="1"/>
        <v>4303</v>
      </c>
    </row>
    <row r="42" spans="1:4">
      <c r="A42" s="36">
        <v>45536</v>
      </c>
      <c r="B42" s="24">
        <f>2492+1332</f>
        <v>3824</v>
      </c>
      <c r="C42" s="40">
        <v>449</v>
      </c>
      <c r="D42" s="23">
        <f t="shared" si="1"/>
        <v>4273</v>
      </c>
    </row>
    <row r="43" spans="1:4">
      <c r="A43" s="36">
        <v>45566</v>
      </c>
      <c r="B43" s="24">
        <f>3091+1048</f>
        <v>4139</v>
      </c>
      <c r="C43" s="40">
        <v>583</v>
      </c>
      <c r="D43" s="23">
        <f t="shared" si="1"/>
        <v>4722</v>
      </c>
    </row>
    <row r="44" spans="1:4">
      <c r="A44" s="39">
        <v>45597</v>
      </c>
      <c r="B44" s="24">
        <f>3950+1098</f>
        <v>5048</v>
      </c>
      <c r="C44" s="40">
        <v>522</v>
      </c>
      <c r="D44" s="23">
        <f t="shared" si="1"/>
        <v>5570</v>
      </c>
    </row>
  </sheetData>
  <pageMargins left="0.7" right="0.7" top="0.75" bottom="0.75" header="0.3" footer="0.3"/>
  <pageSetup paperSize="9" firstPageNumber="429496729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Данные для расчета трафика</vt:lpstr>
      <vt:lpstr>Базовый трафик</vt:lpstr>
      <vt:lpstr>Маски</vt:lpstr>
      <vt:lpstr>Спрос по маскам за 2 года</vt:lpstr>
      <vt:lpstr>Сравнение базы и сезонности</vt:lpstr>
      <vt:lpstr>Прогноз спроса</vt:lpstr>
      <vt:lpstr>Прогноз трафика max</vt:lpstr>
      <vt:lpstr>Прогноз прироста по месяцам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 Винокурова</dc:creator>
  <cp:lastModifiedBy>Natalya</cp:lastModifiedBy>
  <cp:revision>1</cp:revision>
  <dcterms:created xsi:type="dcterms:W3CDTF">2022-09-26T13:21:33Z</dcterms:created>
  <dcterms:modified xsi:type="dcterms:W3CDTF">2026-04-10T18:25:33Z</dcterms:modified>
</cp:coreProperties>
</file>